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vc11\Documents\LUMINAR\"/>
    </mc:Choice>
  </mc:AlternateContent>
  <xr:revisionPtr revIDLastSave="0" documentId="13_ncr:1_{24840E3E-B41C-44C4-A7F2-AF5A4521BCF3}" xr6:coauthVersionLast="47" xr6:coauthVersionMax="47" xr10:uidLastSave="{00000000-0000-0000-0000-000000000000}"/>
  <bookViews>
    <workbookView xWindow="-108" yWindow="-108" windowWidth="23256" windowHeight="12456" activeTab="5" xr2:uid="{9BCA31FE-68CE-42AC-9A1D-366C80D6ABF6}"/>
  </bookViews>
  <sheets>
    <sheet name="FAT E CUSTO VARIÁVEL" sheetId="1" r:id="rId1"/>
    <sheet name="FOLHA" sheetId="6" r:id="rId2"/>
    <sheet name="CUSTOS FIXOS" sheetId="2" r:id="rId3"/>
    <sheet name="IMPOSTOS" sheetId="3" r:id="rId4"/>
    <sheet name="RESULTADOS" sheetId="4" r:id="rId5"/>
    <sheet name="VIABILIDADE" sheetId="5" r:id="rId6"/>
  </sheets>
  <externalReferences>
    <externalReference r:id="rId7"/>
    <externalReference r:id="rId8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5" l="1"/>
  <c r="G21" i="5"/>
  <c r="G19" i="5"/>
  <c r="E21" i="5"/>
  <c r="E19" i="5"/>
  <c r="C19" i="5"/>
  <c r="D21" i="5"/>
  <c r="C21" i="5"/>
  <c r="D18" i="5"/>
  <c r="D19" i="5" s="1"/>
  <c r="D2" i="6"/>
  <c r="C22" i="6"/>
  <c r="C21" i="6"/>
  <c r="C20" i="6"/>
  <c r="C19" i="6"/>
  <c r="C18" i="6"/>
  <c r="C17" i="6"/>
  <c r="C16" i="6"/>
  <c r="C15" i="6"/>
  <c r="G11" i="6"/>
  <c r="G10" i="6"/>
  <c r="G9" i="6"/>
  <c r="G8" i="6"/>
  <c r="G7" i="6"/>
  <c r="G12" i="6" s="1"/>
  <c r="F18" i="5"/>
  <c r="F19" i="5" s="1"/>
  <c r="B18" i="5"/>
  <c r="B19" i="5" s="1"/>
  <c r="B21" i="5" s="1"/>
  <c r="B6" i="4"/>
  <c r="AL11" i="3"/>
  <c r="AK29" i="3"/>
  <c r="AK31" i="3" s="1"/>
  <c r="AK21" i="3"/>
  <c r="AJ11" i="3"/>
  <c r="AK8" i="3"/>
  <c r="AL8" i="3" s="1"/>
  <c r="AK7" i="3"/>
  <c r="AL7" i="3" s="1"/>
  <c r="AI11" i="3"/>
  <c r="AH29" i="3"/>
  <c r="AH31" i="3" s="1"/>
  <c r="AH21" i="3"/>
  <c r="AH8" i="3" s="1"/>
  <c r="AI8" i="3" s="1"/>
  <c r="AG11" i="3"/>
  <c r="AF11" i="3"/>
  <c r="AE29" i="3"/>
  <c r="AE31" i="3" s="1"/>
  <c r="AE21" i="3"/>
  <c r="AE8" i="3" s="1"/>
  <c r="AF8" i="3" s="1"/>
  <c r="AD11" i="3"/>
  <c r="AE7" i="3"/>
  <c r="AF7" i="3" s="1"/>
  <c r="AC11" i="3"/>
  <c r="AB29" i="3"/>
  <c r="AB31" i="3" s="1"/>
  <c r="AB21" i="3"/>
  <c r="AA11" i="3"/>
  <c r="AB8" i="3"/>
  <c r="AC8" i="3" s="1"/>
  <c r="AB7" i="3"/>
  <c r="AC7" i="3" s="1"/>
  <c r="Z11" i="3"/>
  <c r="Y29" i="3"/>
  <c r="Y31" i="3" s="1"/>
  <c r="Y21" i="3"/>
  <c r="Y8" i="3" s="1"/>
  <c r="Z8" i="3" s="1"/>
  <c r="X11" i="3"/>
  <c r="R9" i="3"/>
  <c r="O9" i="3"/>
  <c r="L9" i="3"/>
  <c r="W11" i="3"/>
  <c r="U10" i="3"/>
  <c r="W10" i="3" s="1"/>
  <c r="V29" i="3"/>
  <c r="V31" i="3" s="1"/>
  <c r="U9" i="3" s="1"/>
  <c r="W9" i="3" s="1"/>
  <c r="V21" i="3"/>
  <c r="V8" i="3" s="1"/>
  <c r="W8" i="3" s="1"/>
  <c r="U11" i="3"/>
  <c r="T11" i="3"/>
  <c r="T10" i="3"/>
  <c r="T9" i="3"/>
  <c r="T8" i="3"/>
  <c r="S29" i="3"/>
  <c r="S31" i="3" s="1"/>
  <c r="R10" i="3" s="1"/>
  <c r="S21" i="3"/>
  <c r="R11" i="3"/>
  <c r="S8" i="3"/>
  <c r="S7" i="3"/>
  <c r="T7" i="3" s="1"/>
  <c r="Q11" i="3"/>
  <c r="Q10" i="3"/>
  <c r="Q9" i="3"/>
  <c r="P29" i="3"/>
  <c r="P31" i="3" s="1"/>
  <c r="O10" i="3" s="1"/>
  <c r="P21" i="3"/>
  <c r="P7" i="3" s="1"/>
  <c r="Q7" i="3" s="1"/>
  <c r="O11" i="3"/>
  <c r="M29" i="3"/>
  <c r="M31" i="3" s="1"/>
  <c r="N10" i="3" s="1"/>
  <c r="M21" i="3"/>
  <c r="M8" i="3" s="1"/>
  <c r="N8" i="3" s="1"/>
  <c r="L11" i="3"/>
  <c r="N11" i="3" s="1"/>
  <c r="J29" i="3"/>
  <c r="J31" i="3" s="1"/>
  <c r="K10" i="3" s="1"/>
  <c r="G18" i="3"/>
  <c r="F11" i="3" s="1"/>
  <c r="H11" i="3" s="1"/>
  <c r="G19" i="3"/>
  <c r="D19" i="3"/>
  <c r="B8" i="4" s="1"/>
  <c r="E11" i="3"/>
  <c r="D29" i="3"/>
  <c r="E8" i="3"/>
  <c r="B47" i="2"/>
  <c r="C42" i="2"/>
  <c r="D42" i="2" s="1"/>
  <c r="E42" i="2" s="1"/>
  <c r="F42" i="2" s="1"/>
  <c r="G42" i="2" s="1"/>
  <c r="H42" i="2" s="1"/>
  <c r="I42" i="2" s="1"/>
  <c r="J42" i="2" s="1"/>
  <c r="K42" i="2" s="1"/>
  <c r="L42" i="2" s="1"/>
  <c r="M42" i="2" s="1"/>
  <c r="C41" i="2"/>
  <c r="D41" i="2" s="1"/>
  <c r="E41" i="2" s="1"/>
  <c r="F41" i="2" s="1"/>
  <c r="G41" i="2" s="1"/>
  <c r="H41" i="2" s="1"/>
  <c r="I41" i="2" s="1"/>
  <c r="J41" i="2" s="1"/>
  <c r="K41" i="2" s="1"/>
  <c r="L41" i="2" s="1"/>
  <c r="M41" i="2" s="1"/>
  <c r="C12" i="2"/>
  <c r="D12" i="2" s="1"/>
  <c r="E12" i="2" s="1"/>
  <c r="F12" i="2" s="1"/>
  <c r="G12" i="2" s="1"/>
  <c r="H12" i="2" s="1"/>
  <c r="I12" i="2" s="1"/>
  <c r="J12" i="2" s="1"/>
  <c r="K12" i="2" s="1"/>
  <c r="L12" i="2" s="1"/>
  <c r="M12" i="2" s="1"/>
  <c r="C11" i="2"/>
  <c r="D11" i="2" s="1"/>
  <c r="E11" i="2" s="1"/>
  <c r="F11" i="2" s="1"/>
  <c r="G11" i="2" s="1"/>
  <c r="H11" i="2" s="1"/>
  <c r="I11" i="2" s="1"/>
  <c r="J11" i="2" s="1"/>
  <c r="K11" i="2" s="1"/>
  <c r="L11" i="2" s="1"/>
  <c r="M11" i="2" s="1"/>
  <c r="C10" i="2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C8" i="2"/>
  <c r="D8" i="2" s="1"/>
  <c r="E8" i="2" s="1"/>
  <c r="F8" i="2" s="1"/>
  <c r="G8" i="2" s="1"/>
  <c r="H8" i="2" s="1"/>
  <c r="I8" i="2" s="1"/>
  <c r="J8" i="2" s="1"/>
  <c r="K8" i="2" s="1"/>
  <c r="L8" i="2" s="1"/>
  <c r="M8" i="2" s="1"/>
  <c r="C7" i="2"/>
  <c r="D7" i="2" s="1"/>
  <c r="E7" i="2" s="1"/>
  <c r="F7" i="2" s="1"/>
  <c r="G7" i="2" s="1"/>
  <c r="H7" i="2" s="1"/>
  <c r="I7" i="2" s="1"/>
  <c r="J7" i="2" s="1"/>
  <c r="K7" i="2" s="1"/>
  <c r="L7" i="2" s="1"/>
  <c r="M7" i="2" s="1"/>
  <c r="C46" i="2"/>
  <c r="D46" i="2" s="1"/>
  <c r="E46" i="2" s="1"/>
  <c r="F46" i="2" s="1"/>
  <c r="C45" i="2"/>
  <c r="D45" i="2" s="1"/>
  <c r="E45" i="2" s="1"/>
  <c r="F45" i="2" s="1"/>
  <c r="G45" i="2" s="1"/>
  <c r="H45" i="2" s="1"/>
  <c r="I45" i="2" s="1"/>
  <c r="J45" i="2" s="1"/>
  <c r="K45" i="2" s="1"/>
  <c r="L45" i="2" s="1"/>
  <c r="M45" i="2" s="1"/>
  <c r="C44" i="2"/>
  <c r="D44" i="2" s="1"/>
  <c r="E44" i="2" s="1"/>
  <c r="F44" i="2" s="1"/>
  <c r="G44" i="2" s="1"/>
  <c r="H44" i="2" s="1"/>
  <c r="I44" i="2" s="1"/>
  <c r="J44" i="2" s="1"/>
  <c r="K44" i="2" s="1"/>
  <c r="L44" i="2" s="1"/>
  <c r="M44" i="2" s="1"/>
  <c r="C43" i="2"/>
  <c r="D43" i="2" s="1"/>
  <c r="E43" i="2" s="1"/>
  <c r="F43" i="2" s="1"/>
  <c r="G43" i="2" s="1"/>
  <c r="H43" i="2" s="1"/>
  <c r="I43" i="2" s="1"/>
  <c r="J43" i="2" s="1"/>
  <c r="K43" i="2" s="1"/>
  <c r="L43" i="2" s="1"/>
  <c r="M43" i="2" s="1"/>
  <c r="C40" i="2"/>
  <c r="D40" i="2" s="1"/>
  <c r="E40" i="2" s="1"/>
  <c r="F40" i="2" s="1"/>
  <c r="G40" i="2" s="1"/>
  <c r="H40" i="2" s="1"/>
  <c r="I40" i="2" s="1"/>
  <c r="J40" i="2" s="1"/>
  <c r="K40" i="2" s="1"/>
  <c r="L40" i="2" s="1"/>
  <c r="M40" i="2" s="1"/>
  <c r="C26" i="2"/>
  <c r="D26" i="2" s="1"/>
  <c r="E26" i="2" s="1"/>
  <c r="F26" i="2" s="1"/>
  <c r="G26" i="2" s="1"/>
  <c r="H26" i="2" s="1"/>
  <c r="I26" i="2" s="1"/>
  <c r="J26" i="2" s="1"/>
  <c r="K26" i="2" s="1"/>
  <c r="L26" i="2" s="1"/>
  <c r="M26" i="2" s="1"/>
  <c r="C25" i="2"/>
  <c r="D25" i="2" s="1"/>
  <c r="E25" i="2" s="1"/>
  <c r="F25" i="2" s="1"/>
  <c r="G25" i="2" s="1"/>
  <c r="H25" i="2" s="1"/>
  <c r="I25" i="2" s="1"/>
  <c r="J25" i="2" s="1"/>
  <c r="K25" i="2" s="1"/>
  <c r="L25" i="2" s="1"/>
  <c r="M25" i="2" s="1"/>
  <c r="C24" i="2"/>
  <c r="D24" i="2" s="1"/>
  <c r="E24" i="2" s="1"/>
  <c r="F24" i="2" s="1"/>
  <c r="G24" i="2" s="1"/>
  <c r="H24" i="2" s="1"/>
  <c r="I24" i="2" s="1"/>
  <c r="J24" i="2" s="1"/>
  <c r="K24" i="2" s="1"/>
  <c r="L24" i="2" s="1"/>
  <c r="M24" i="2" s="1"/>
  <c r="C23" i="2"/>
  <c r="D23" i="2" s="1"/>
  <c r="E23" i="2" s="1"/>
  <c r="F23" i="2" s="1"/>
  <c r="G23" i="2" s="1"/>
  <c r="H23" i="2" s="1"/>
  <c r="I23" i="2" s="1"/>
  <c r="J23" i="2" s="1"/>
  <c r="K23" i="2" s="1"/>
  <c r="L23" i="2" s="1"/>
  <c r="M23" i="2" s="1"/>
  <c r="C22" i="2"/>
  <c r="D22" i="2" s="1"/>
  <c r="E22" i="2" s="1"/>
  <c r="F22" i="2" s="1"/>
  <c r="G22" i="2" s="1"/>
  <c r="H22" i="2" s="1"/>
  <c r="I22" i="2" s="1"/>
  <c r="J22" i="2" s="1"/>
  <c r="K22" i="2" s="1"/>
  <c r="L22" i="2" s="1"/>
  <c r="M22" i="2" s="1"/>
  <c r="C21" i="2"/>
  <c r="D21" i="2" s="1"/>
  <c r="E21" i="2" s="1"/>
  <c r="F21" i="2" s="1"/>
  <c r="G21" i="2" s="1"/>
  <c r="H21" i="2" s="1"/>
  <c r="I21" i="2" s="1"/>
  <c r="J21" i="2" s="1"/>
  <c r="K21" i="2" s="1"/>
  <c r="L21" i="2" s="1"/>
  <c r="M21" i="2" s="1"/>
  <c r="C20" i="2"/>
  <c r="D20" i="2" s="1"/>
  <c r="E20" i="2" s="1"/>
  <c r="F20" i="2" s="1"/>
  <c r="G20" i="2" s="1"/>
  <c r="H20" i="2" s="1"/>
  <c r="I20" i="2" s="1"/>
  <c r="J20" i="2" s="1"/>
  <c r="K20" i="2" s="1"/>
  <c r="L20" i="2" s="1"/>
  <c r="M20" i="2" s="1"/>
  <c r="C19" i="2"/>
  <c r="D19" i="2" s="1"/>
  <c r="E19" i="2" s="1"/>
  <c r="F19" i="2" s="1"/>
  <c r="G19" i="2" s="1"/>
  <c r="H19" i="2" s="1"/>
  <c r="I19" i="2" s="1"/>
  <c r="J19" i="2" s="1"/>
  <c r="K19" i="2" s="1"/>
  <c r="L19" i="2" s="1"/>
  <c r="M19" i="2" s="1"/>
  <c r="C18" i="2"/>
  <c r="D18" i="2" s="1"/>
  <c r="E18" i="2" s="1"/>
  <c r="F18" i="2" s="1"/>
  <c r="G18" i="2" s="1"/>
  <c r="H18" i="2" s="1"/>
  <c r="I18" i="2" s="1"/>
  <c r="J18" i="2" s="1"/>
  <c r="K18" i="2" s="1"/>
  <c r="L18" i="2" s="1"/>
  <c r="M18" i="2" s="1"/>
  <c r="C17" i="2"/>
  <c r="D17" i="2" s="1"/>
  <c r="E17" i="2" s="1"/>
  <c r="F17" i="2" s="1"/>
  <c r="G17" i="2" s="1"/>
  <c r="H17" i="2" s="1"/>
  <c r="I17" i="2" s="1"/>
  <c r="J17" i="2" s="1"/>
  <c r="K17" i="2" s="1"/>
  <c r="L17" i="2" s="1"/>
  <c r="M17" i="2" s="1"/>
  <c r="C16" i="2"/>
  <c r="D16" i="2" s="1"/>
  <c r="E16" i="2" s="1"/>
  <c r="F16" i="2" s="1"/>
  <c r="G16" i="2" s="1"/>
  <c r="H16" i="2" s="1"/>
  <c r="I16" i="2" s="1"/>
  <c r="J16" i="2" s="1"/>
  <c r="K16" i="2" s="1"/>
  <c r="L16" i="2" s="1"/>
  <c r="M16" i="2" s="1"/>
  <c r="C15" i="2"/>
  <c r="D15" i="2" s="1"/>
  <c r="E15" i="2" s="1"/>
  <c r="F15" i="2" s="1"/>
  <c r="G15" i="2" s="1"/>
  <c r="H15" i="2" s="1"/>
  <c r="I15" i="2" s="1"/>
  <c r="J15" i="2" s="1"/>
  <c r="K15" i="2" s="1"/>
  <c r="L15" i="2" s="1"/>
  <c r="M15" i="2" s="1"/>
  <c r="C14" i="2"/>
  <c r="D14" i="2" s="1"/>
  <c r="E14" i="2" s="1"/>
  <c r="F14" i="2" s="1"/>
  <c r="G14" i="2" s="1"/>
  <c r="H14" i="2" s="1"/>
  <c r="I14" i="2" s="1"/>
  <c r="J14" i="2" s="1"/>
  <c r="K14" i="2" s="1"/>
  <c r="L14" i="2" s="1"/>
  <c r="M14" i="2" s="1"/>
  <c r="C13" i="2"/>
  <c r="D13" i="2" s="1"/>
  <c r="E13" i="2" s="1"/>
  <c r="F13" i="2" s="1"/>
  <c r="G13" i="2" s="1"/>
  <c r="H13" i="2" s="1"/>
  <c r="I13" i="2" s="1"/>
  <c r="J13" i="2" s="1"/>
  <c r="K13" i="2" s="1"/>
  <c r="L13" i="2" s="1"/>
  <c r="M13" i="2" s="1"/>
  <c r="B27" i="2"/>
  <c r="D20" i="3" s="1"/>
  <c r="B13" i="4" s="1"/>
  <c r="C17" i="1"/>
  <c r="C24" i="1" s="1"/>
  <c r="C16" i="1"/>
  <c r="D16" i="1" s="1"/>
  <c r="C15" i="1"/>
  <c r="D15" i="1" s="1"/>
  <c r="C14" i="1"/>
  <c r="C21" i="1" s="1"/>
  <c r="H10" i="1"/>
  <c r="H9" i="1"/>
  <c r="H8" i="1"/>
  <c r="H7" i="1"/>
  <c r="D10" i="1"/>
  <c r="D9" i="1"/>
  <c r="D8" i="1"/>
  <c r="D7" i="1"/>
  <c r="G46" i="2" l="1"/>
  <c r="H46" i="2" s="1"/>
  <c r="I46" i="2" s="1"/>
  <c r="J46" i="2" s="1"/>
  <c r="K46" i="2" s="1"/>
  <c r="L46" i="2" s="1"/>
  <c r="M46" i="2" s="1"/>
  <c r="F47" i="2"/>
  <c r="M47" i="2"/>
  <c r="E47" i="2"/>
  <c r="D7" i="3"/>
  <c r="E7" i="3" s="1"/>
  <c r="G47" i="2"/>
  <c r="H47" i="2"/>
  <c r="I47" i="2"/>
  <c r="J47" i="2"/>
  <c r="D30" i="3"/>
  <c r="C47" i="2"/>
  <c r="G30" i="3" s="1"/>
  <c r="K47" i="2"/>
  <c r="D47" i="2"/>
  <c r="L47" i="2"/>
  <c r="Y7" i="3"/>
  <c r="Z7" i="3" s="1"/>
  <c r="I9" i="3"/>
  <c r="L10" i="3"/>
  <c r="I10" i="3"/>
  <c r="AJ9" i="3"/>
  <c r="AL9" i="3" s="1"/>
  <c r="AJ10" i="3"/>
  <c r="AL10" i="3" s="1"/>
  <c r="AH7" i="3"/>
  <c r="AI7" i="3" s="1"/>
  <c r="AG9" i="3"/>
  <c r="AI9" i="3" s="1"/>
  <c r="AG10" i="3"/>
  <c r="AI10" i="3" s="1"/>
  <c r="AD9" i="3"/>
  <c r="AD10" i="3"/>
  <c r="AF10" i="3" s="1"/>
  <c r="AA9" i="3"/>
  <c r="AC9" i="3" s="1"/>
  <c r="AA10" i="3"/>
  <c r="AC10" i="3" s="1"/>
  <c r="X9" i="3"/>
  <c r="Z9" i="3" s="1"/>
  <c r="X10" i="3"/>
  <c r="Z10" i="3" s="1"/>
  <c r="V7" i="3"/>
  <c r="W7" i="3" s="1"/>
  <c r="W12" i="3"/>
  <c r="P8" i="3"/>
  <c r="Q8" i="3" s="1"/>
  <c r="D31" i="3"/>
  <c r="N9" i="3"/>
  <c r="K9" i="3"/>
  <c r="M7" i="3"/>
  <c r="N7" i="3" s="1"/>
  <c r="G29" i="3"/>
  <c r="G31" i="3" s="1"/>
  <c r="I11" i="3"/>
  <c r="K11" i="3" s="1"/>
  <c r="J21" i="3"/>
  <c r="E10" i="3"/>
  <c r="E9" i="3"/>
  <c r="D21" i="3"/>
  <c r="E7" i="1"/>
  <c r="H16" i="1"/>
  <c r="D17" i="1"/>
  <c r="C22" i="1"/>
  <c r="D22" i="1" s="1"/>
  <c r="D14" i="1"/>
  <c r="C27" i="2"/>
  <c r="G20" i="3" s="1"/>
  <c r="G21" i="3" s="1"/>
  <c r="I7" i="1"/>
  <c r="C28" i="1"/>
  <c r="D28" i="1" s="1"/>
  <c r="D21" i="1"/>
  <c r="H24" i="1"/>
  <c r="C31" i="1"/>
  <c r="D31" i="1" s="1"/>
  <c r="C23" i="1"/>
  <c r="D23" i="1" s="1"/>
  <c r="H22" i="1"/>
  <c r="C29" i="1"/>
  <c r="H17" i="1"/>
  <c r="H14" i="1"/>
  <c r="H21" i="1"/>
  <c r="D24" i="1"/>
  <c r="H15" i="1"/>
  <c r="E14" i="1"/>
  <c r="B49" i="2" l="1"/>
  <c r="B51" i="2" s="1"/>
  <c r="B52" i="2" s="1"/>
  <c r="B53" i="2" s="1"/>
  <c r="B54" i="2" s="1"/>
  <c r="E12" i="3"/>
  <c r="B9" i="4" s="1"/>
  <c r="B10" i="4" s="1"/>
  <c r="B12" i="4" s="1"/>
  <c r="B15" i="4" s="1"/>
  <c r="B19" i="4" s="1"/>
  <c r="B26" i="4" s="1"/>
  <c r="F10" i="3"/>
  <c r="F9" i="3"/>
  <c r="C9" i="3"/>
  <c r="C10" i="3"/>
  <c r="AF9" i="3"/>
  <c r="AF12" i="3" s="1"/>
  <c r="AL12" i="3"/>
  <c r="AI12" i="3"/>
  <c r="AC12" i="3"/>
  <c r="Z12" i="3"/>
  <c r="Z13" i="3" s="1"/>
  <c r="T12" i="3"/>
  <c r="Q12" i="3"/>
  <c r="H10" i="3"/>
  <c r="H9" i="3"/>
  <c r="G8" i="3"/>
  <c r="H8" i="3" s="1"/>
  <c r="G7" i="3"/>
  <c r="H7" i="3" s="1"/>
  <c r="J8" i="3"/>
  <c r="K8" i="3" s="1"/>
  <c r="J7" i="3"/>
  <c r="K7" i="3" s="1"/>
  <c r="N12" i="3"/>
  <c r="I14" i="1"/>
  <c r="D27" i="2"/>
  <c r="C38" i="1"/>
  <c r="H31" i="1"/>
  <c r="C35" i="1"/>
  <c r="H28" i="1"/>
  <c r="H23" i="1"/>
  <c r="I21" i="1" s="1"/>
  <c r="C30" i="1"/>
  <c r="H29" i="1"/>
  <c r="C36" i="1"/>
  <c r="D29" i="1"/>
  <c r="E21" i="1"/>
  <c r="AF13" i="3" l="1"/>
  <c r="Q13" i="3"/>
  <c r="H12" i="3"/>
  <c r="AI13" i="3"/>
  <c r="T13" i="3"/>
  <c r="AC13" i="3"/>
  <c r="AL13" i="3"/>
  <c r="W13" i="3"/>
  <c r="K12" i="3"/>
  <c r="E27" i="2"/>
  <c r="H36" i="1"/>
  <c r="C43" i="1"/>
  <c r="D36" i="1"/>
  <c r="C45" i="1"/>
  <c r="H38" i="1"/>
  <c r="D38" i="1"/>
  <c r="H35" i="1"/>
  <c r="C42" i="1"/>
  <c r="D35" i="1"/>
  <c r="H30" i="1"/>
  <c r="I28" i="1" s="1"/>
  <c r="C37" i="1"/>
  <c r="D30" i="1"/>
  <c r="E28" i="1" s="1"/>
  <c r="K13" i="3" l="1"/>
  <c r="H13" i="3"/>
  <c r="C34" i="3"/>
  <c r="N13" i="3"/>
  <c r="F27" i="2"/>
  <c r="D37" i="1"/>
  <c r="C44" i="1"/>
  <c r="H37" i="1"/>
  <c r="I35" i="1" s="1"/>
  <c r="C52" i="1"/>
  <c r="H45" i="1"/>
  <c r="D45" i="1"/>
  <c r="C50" i="1"/>
  <c r="D43" i="1"/>
  <c r="H43" i="1"/>
  <c r="E35" i="1"/>
  <c r="H42" i="1"/>
  <c r="C49" i="1"/>
  <c r="D42" i="1"/>
  <c r="AO13" i="3" l="1"/>
  <c r="C9" i="4"/>
  <c r="G27" i="2"/>
  <c r="D49" i="1"/>
  <c r="C56" i="1"/>
  <c r="H49" i="1"/>
  <c r="D52" i="1"/>
  <c r="H52" i="1"/>
  <c r="C59" i="1"/>
  <c r="C51" i="1"/>
  <c r="D44" i="1"/>
  <c r="E42" i="1" s="1"/>
  <c r="H44" i="1"/>
  <c r="I42" i="1" s="1"/>
  <c r="H50" i="1"/>
  <c r="C57" i="1"/>
  <c r="D50" i="1"/>
  <c r="H27" i="2" l="1"/>
  <c r="C64" i="1"/>
  <c r="H57" i="1"/>
  <c r="D57" i="1"/>
  <c r="I49" i="1"/>
  <c r="C63" i="1"/>
  <c r="H56" i="1"/>
  <c r="D56" i="1"/>
  <c r="C58" i="1"/>
  <c r="H51" i="1"/>
  <c r="D51" i="1"/>
  <c r="E49" i="1" s="1"/>
  <c r="D59" i="1"/>
  <c r="H59" i="1"/>
  <c r="C66" i="1"/>
  <c r="I27" i="2" l="1"/>
  <c r="C73" i="1"/>
  <c r="D66" i="1"/>
  <c r="H66" i="1"/>
  <c r="C70" i="1"/>
  <c r="H63" i="1"/>
  <c r="D63" i="1"/>
  <c r="H58" i="1"/>
  <c r="I56" i="1" s="1"/>
  <c r="C65" i="1"/>
  <c r="D58" i="1"/>
  <c r="H64" i="1"/>
  <c r="C71" i="1"/>
  <c r="D64" i="1"/>
  <c r="E56" i="1"/>
  <c r="J27" i="2" l="1"/>
  <c r="H70" i="1"/>
  <c r="C77" i="1"/>
  <c r="D70" i="1"/>
  <c r="H71" i="1"/>
  <c r="C78" i="1"/>
  <c r="D71" i="1"/>
  <c r="I63" i="1"/>
  <c r="H65" i="1"/>
  <c r="C72" i="1"/>
  <c r="D65" i="1"/>
  <c r="E63" i="1" s="1"/>
  <c r="C80" i="1"/>
  <c r="D73" i="1"/>
  <c r="H73" i="1"/>
  <c r="K27" i="2" l="1"/>
  <c r="C85" i="1"/>
  <c r="H78" i="1"/>
  <c r="D78" i="1"/>
  <c r="H80" i="1"/>
  <c r="D80" i="1"/>
  <c r="C87" i="1"/>
  <c r="C79" i="1"/>
  <c r="H72" i="1"/>
  <c r="I70" i="1" s="1"/>
  <c r="D72" i="1"/>
  <c r="E70" i="1" s="1"/>
  <c r="D77" i="1"/>
  <c r="H77" i="1"/>
  <c r="C84" i="1"/>
  <c r="L27" i="2" l="1"/>
  <c r="M27" i="2"/>
  <c r="H87" i="1"/>
  <c r="D87" i="1"/>
  <c r="D84" i="1"/>
  <c r="H84" i="1"/>
  <c r="D85" i="1"/>
  <c r="H85" i="1"/>
  <c r="H79" i="1"/>
  <c r="I77" i="1" s="1"/>
  <c r="C86" i="1"/>
  <c r="D79" i="1"/>
  <c r="E77" i="1" s="1"/>
  <c r="B29" i="2" l="1"/>
  <c r="H86" i="1"/>
  <c r="D86" i="1"/>
  <c r="E84" i="1" s="1"/>
  <c r="E90" i="1" s="1"/>
  <c r="I84" i="1"/>
  <c r="I90" i="1" s="1"/>
  <c r="I94" i="1" l="1"/>
  <c r="I95" i="1" s="1"/>
  <c r="I96" i="1" s="1"/>
  <c r="I97" i="1" s="1"/>
  <c r="C8" i="4"/>
  <c r="C10" i="4" s="1"/>
  <c r="E94" i="1"/>
  <c r="E95" i="1" s="1"/>
  <c r="E96" i="1" s="1"/>
  <c r="E97" i="1" s="1"/>
  <c r="C6" i="4"/>
  <c r="B31" i="2"/>
  <c r="B32" i="2" s="1"/>
  <c r="B33" i="2" s="1"/>
  <c r="B34" i="2" s="1"/>
  <c r="C13" i="4"/>
  <c r="D8" i="4" l="1"/>
  <c r="D9" i="4"/>
  <c r="C12" i="4"/>
  <c r="C15" i="4" s="1"/>
  <c r="D15" i="4" s="1"/>
  <c r="D10" i="4"/>
  <c r="D12" i="4" s="1"/>
  <c r="D13" i="4"/>
</calcChain>
</file>

<file path=xl/sharedStrings.xml><?xml version="1.0" encoding="utf-8"?>
<sst xmlns="http://schemas.openxmlformats.org/spreadsheetml/2006/main" count="619" uniqueCount="145">
  <si>
    <t>SERVIÇO</t>
  </si>
  <si>
    <t>VALOR</t>
  </si>
  <si>
    <t>QUANTIDADE</t>
  </si>
  <si>
    <t>PROJEÇÃO 1º ANO</t>
  </si>
  <si>
    <t>1º MÊS</t>
  </si>
  <si>
    <t>FATURAMENTO</t>
  </si>
  <si>
    <t>VALOR UNIT.</t>
  </si>
  <si>
    <t>TOMOGRAFIA</t>
  </si>
  <si>
    <t>MAMOGRAFIA</t>
  </si>
  <si>
    <t>DENSITOMETRIA</t>
  </si>
  <si>
    <t>RAIO - X</t>
  </si>
  <si>
    <t>QNT/MÊS</t>
  </si>
  <si>
    <t>CUSTO / LAUDO</t>
  </si>
  <si>
    <t>CUSTO / MATERIAL</t>
  </si>
  <si>
    <t>FAT. SERVIÇO</t>
  </si>
  <si>
    <t>CUSTO SERVIÇO</t>
  </si>
  <si>
    <t>CUSTO VARIÁVEL MENSAL</t>
  </si>
  <si>
    <t>FATURAMENTO MENSAL</t>
  </si>
  <si>
    <t>TAXA DE CRESCIMENTO</t>
  </si>
  <si>
    <t>2º MÊS</t>
  </si>
  <si>
    <t>3º MÊS</t>
  </si>
  <si>
    <t>4º MÊS</t>
  </si>
  <si>
    <t>5º MÊS</t>
  </si>
  <si>
    <t>6º MÊS</t>
  </si>
  <si>
    <t>7º MÊS</t>
  </si>
  <si>
    <t>8º MÊS</t>
  </si>
  <si>
    <t>9º MÊS</t>
  </si>
  <si>
    <t>10º MÊS</t>
  </si>
  <si>
    <t>11º MÊS</t>
  </si>
  <si>
    <t>FATURAMENTO ANUAL</t>
  </si>
  <si>
    <t>12º MÊS</t>
  </si>
  <si>
    <t>CUSTO SERVIÇO ANUAL</t>
  </si>
  <si>
    <t>PROJEÇÃO 2º ANO</t>
  </si>
  <si>
    <t>PROJEÇÃO 3º ANO</t>
  </si>
  <si>
    <t>PROJEÇÃO 4º ANO</t>
  </si>
  <si>
    <t>PROJEÇÃO 5º ANO</t>
  </si>
  <si>
    <t>TAXA</t>
  </si>
  <si>
    <t>CSP 2º ANO</t>
  </si>
  <si>
    <t>CSP 3º ANO</t>
  </si>
  <si>
    <t>CSP 4º ANO</t>
  </si>
  <si>
    <t>CSP 5º ANO</t>
  </si>
  <si>
    <t>DESCRIÇÃO</t>
  </si>
  <si>
    <t>ALUGUEL</t>
  </si>
  <si>
    <t>ENERGIA ELÉTRICA</t>
  </si>
  <si>
    <t>ÁGUA DE USO</t>
  </si>
  <si>
    <t>TELEFONIA E INTERNET</t>
  </si>
  <si>
    <t>ÁGUA CONSUMO</t>
  </si>
  <si>
    <t>DESJEJUM PACIENTES</t>
  </si>
  <si>
    <t>INSUMOS</t>
  </si>
  <si>
    <t>MATERIAL DE ESCRITÓRIO</t>
  </si>
  <si>
    <t>MATERIAL DE LIMPEZA</t>
  </si>
  <si>
    <t>DEPRECIAÇÃO</t>
  </si>
  <si>
    <t>PRÓ-LABORE</t>
  </si>
  <si>
    <t>ENCARGOS E SALÁRIOS</t>
  </si>
  <si>
    <t>DIVULGAÇÃO</t>
  </si>
  <si>
    <t>GESTÃO DE MÍDIA DIGITAL</t>
  </si>
  <si>
    <t>LOCAÇÃO DE EQUIPAMENTOS</t>
  </si>
  <si>
    <t>CONTADOR</t>
  </si>
  <si>
    <t>SEGURANÇA ELETRÔNICA</t>
  </si>
  <si>
    <t>MENSALIDADE SOFTWARE CLÍNICA</t>
  </si>
  <si>
    <t>MENSALIDADE SOFTWARE PONTO ELETRÔNICO</t>
  </si>
  <si>
    <t>MENSALIDADE SOFTWARE TV CORPORATIVA</t>
  </si>
  <si>
    <t>TOTAL</t>
  </si>
  <si>
    <t>TOTAL 1º ANO</t>
  </si>
  <si>
    <t>TOTAL 2º ANO</t>
  </si>
  <si>
    <t>TOTAL 3º ANO</t>
  </si>
  <si>
    <t>TOTAL 4º ANO</t>
  </si>
  <si>
    <t>TOTAL 5º ANO</t>
  </si>
  <si>
    <t>TOTAL MENSAL</t>
  </si>
  <si>
    <t>DESPESAS QUE CREDITAM O PIS E COFINS</t>
  </si>
  <si>
    <t>VALOR A CREDITAR</t>
  </si>
  <si>
    <t>IRPJ</t>
  </si>
  <si>
    <t>CSLL</t>
  </si>
  <si>
    <t>PIS</t>
  </si>
  <si>
    <t>COFINS</t>
  </si>
  <si>
    <t>ISS</t>
  </si>
  <si>
    <t>ALÍQUOTA</t>
  </si>
  <si>
    <t>LUCRO REAL</t>
  </si>
  <si>
    <t>CUSTOS VARIÁVEIS</t>
  </si>
  <si>
    <t>CUSTOS FIXOS</t>
  </si>
  <si>
    <t xml:space="preserve">LUCRO REAL   </t>
  </si>
  <si>
    <t>REFERÊNCIA PARA IRPJ E CSLL</t>
  </si>
  <si>
    <t>REFERÊNCIA PARA CÁLCULO DE PIS E COFINS</t>
  </si>
  <si>
    <t>FÓRMULA DO IRPJ</t>
  </si>
  <si>
    <t>O QUE EXCEDER R$ 20.000,00 DE LUCRO TERÁ INCIDÊNCIA DE 10% SOBRE O VALOR</t>
  </si>
  <si>
    <t>IMPOSTO</t>
  </si>
  <si>
    <t>-</t>
  </si>
  <si>
    <t>CRÉDTIDOS</t>
  </si>
  <si>
    <t>BASE DE CÁLCULO</t>
  </si>
  <si>
    <t>CÁLCULO</t>
  </si>
  <si>
    <t>IMPOSTOS 1º ANO</t>
  </si>
  <si>
    <t>TX. CRESC.</t>
  </si>
  <si>
    <t>MÉDIA</t>
  </si>
  <si>
    <t>IMPOSTOS 2º ANO</t>
  </si>
  <si>
    <t>IMPOSTOS 3º ANO</t>
  </si>
  <si>
    <t>IMPOSTOS 4º ANO</t>
  </si>
  <si>
    <t>IMPOSTOS 5º ANO</t>
  </si>
  <si>
    <t>RECEITA TOTAL</t>
  </si>
  <si>
    <t>PORCENTAGEM</t>
  </si>
  <si>
    <t>1º ANO</t>
  </si>
  <si>
    <t>IMPOSTOS</t>
  </si>
  <si>
    <t>TOTAL DOS CUSTOS VARIÁVEIS</t>
  </si>
  <si>
    <t>MARGEM DE CONTRIBUIÇÃO</t>
  </si>
  <si>
    <t>CUSTOS FIXOS TOTAIS</t>
  </si>
  <si>
    <t>RESULTADO OPERACIONAL</t>
  </si>
  <si>
    <t>PROJEÇÃO DE RESULTADOS</t>
  </si>
  <si>
    <t>ANOS POSTERIORES</t>
  </si>
  <si>
    <t>2º ANO</t>
  </si>
  <si>
    <t>3º ANO</t>
  </si>
  <si>
    <t>4º ANO</t>
  </si>
  <si>
    <t>5º ANO</t>
  </si>
  <si>
    <t>INDICADORES</t>
  </si>
  <si>
    <t>PONTO DE EQUILÍBRIO</t>
  </si>
  <si>
    <t>PERCENTUAL DE LUCRATIVIDADE</t>
  </si>
  <si>
    <t>PERCENTUAL DE RENTABILIDADE</t>
  </si>
  <si>
    <t>PAYBACK</t>
  </si>
  <si>
    <t>7 MESES</t>
  </si>
  <si>
    <t>CENÁRIOS</t>
  </si>
  <si>
    <t>PESSIMISTA</t>
  </si>
  <si>
    <t>OTIMISTA</t>
  </si>
  <si>
    <t>PROVÁVEL</t>
  </si>
  <si>
    <t>CARGO</t>
  </si>
  <si>
    <t>SUPERVISOR DE RADIOLOGIA</t>
  </si>
  <si>
    <t>TÉCNICO DE RADIOLOGIA</t>
  </si>
  <si>
    <t>TÉCNICO EM ENFERMAGEM</t>
  </si>
  <si>
    <t>RECEPCIONISTA</t>
  </si>
  <si>
    <t>AUXILIAR DE SERVIÇOS GERAIS</t>
  </si>
  <si>
    <t>SALÁRIO BASE</t>
  </si>
  <si>
    <t>INSALUBRIDADE</t>
  </si>
  <si>
    <t>GRAU DE INSALUBRIDADE</t>
  </si>
  <si>
    <t>SUBTOTAL</t>
  </si>
  <si>
    <t>MÁXIMO</t>
  </si>
  <si>
    <t>MÉDIO</t>
  </si>
  <si>
    <t>MÍNIMO</t>
  </si>
  <si>
    <t>ALÍQUOTA (SALÁRIO MÍNIMO)</t>
  </si>
  <si>
    <t>ENCARGOS</t>
  </si>
  <si>
    <t>INSS PATRONAL</t>
  </si>
  <si>
    <t>FGTS</t>
  </si>
  <si>
    <t>FÉRIAS + 1/3 CONSTITUCIONAL</t>
  </si>
  <si>
    <t>13º SALÁRIO</t>
  </si>
  <si>
    <t>SAT/RAT</t>
  </si>
  <si>
    <t>SISTEMA S</t>
  </si>
  <si>
    <t>SALÁRIOS E ENCARGOS</t>
  </si>
  <si>
    <t>MÊS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</si>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</sst>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8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8" fillId="5" borderId="10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2" fillId="3" borderId="14" xfId="0" applyFont="1" applyFill="1" applyBorder="1"/>
    <xf numFmtId="0" fontId="8" fillId="5" borderId="1" xfId="0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6" fillId="0" borderId="21" xfId="0" applyNumberFormat="1" applyFont="1" applyBorder="1" applyAlignment="1">
      <alignment horizontal="center" vertical="center"/>
    </xf>
    <xf numFmtId="0" fontId="8" fillId="5" borderId="28" xfId="0" applyFont="1" applyFill="1" applyBorder="1" applyAlignment="1">
      <alignment horizontal="left" vertical="center"/>
    </xf>
    <xf numFmtId="0" fontId="8" fillId="5" borderId="29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9" fontId="6" fillId="0" borderId="31" xfId="1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9" fontId="6" fillId="0" borderId="29" xfId="1" applyFont="1" applyBorder="1" applyAlignment="1">
      <alignment horizontal="center" vertical="center"/>
    </xf>
    <xf numFmtId="10" fontId="6" fillId="0" borderId="29" xfId="1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9" fontId="6" fillId="0" borderId="33" xfId="1" applyFont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vertical="center"/>
    </xf>
    <xf numFmtId="0" fontId="8" fillId="6" borderId="32" xfId="0" applyFont="1" applyFill="1" applyBorder="1"/>
    <xf numFmtId="0" fontId="8" fillId="6" borderId="28" xfId="0" applyFont="1" applyFill="1" applyBorder="1"/>
    <xf numFmtId="10" fontId="17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16" fillId="0" borderId="0" xfId="0" applyFont="1"/>
    <xf numFmtId="9" fontId="6" fillId="0" borderId="2" xfId="0" applyNumberFormat="1" applyFont="1" applyBorder="1" applyAlignment="1">
      <alignment horizontal="center" vertical="center"/>
    </xf>
    <xf numFmtId="0" fontId="8" fillId="8" borderId="20" xfId="0" applyFont="1" applyFill="1" applyBorder="1"/>
    <xf numFmtId="0" fontId="6" fillId="0" borderId="20" xfId="0" applyFont="1" applyBorder="1"/>
    <xf numFmtId="164" fontId="8" fillId="8" borderId="21" xfId="0" applyNumberFormat="1" applyFont="1" applyFill="1" applyBorder="1" applyAlignment="1">
      <alignment horizontal="center" vertical="center"/>
    </xf>
    <xf numFmtId="164" fontId="8" fillId="8" borderId="28" xfId="0" applyNumberFormat="1" applyFont="1" applyFill="1" applyBorder="1" applyAlignment="1">
      <alignment horizontal="center" vertical="center"/>
    </xf>
    <xf numFmtId="10" fontId="6" fillId="0" borderId="29" xfId="0" applyNumberFormat="1" applyFont="1" applyBorder="1" applyAlignment="1">
      <alignment horizontal="center" vertical="center"/>
    </xf>
    <xf numFmtId="10" fontId="6" fillId="8" borderId="29" xfId="0" applyNumberFormat="1" applyFont="1" applyFill="1" applyBorder="1" applyAlignment="1">
      <alignment horizontal="center" vertical="center"/>
    </xf>
    <xf numFmtId="10" fontId="6" fillId="0" borderId="33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10" fontId="21" fillId="0" borderId="12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64" fontId="0" fillId="0" borderId="48" xfId="0" applyNumberFormat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0" fontId="0" fillId="0" borderId="51" xfId="0" applyBorder="1" applyAlignment="1">
      <alignment horizontal="left" vertical="center"/>
    </xf>
    <xf numFmtId="164" fontId="0" fillId="0" borderId="52" xfId="0" applyNumberFormat="1" applyBorder="1" applyAlignment="1">
      <alignment horizontal="center" vertical="center"/>
    </xf>
    <xf numFmtId="164" fontId="0" fillId="0" borderId="53" xfId="0" applyNumberFormat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164" fontId="3" fillId="0" borderId="29" xfId="0" applyNumberFormat="1" applyFont="1" applyBorder="1"/>
    <xf numFmtId="164" fontId="3" fillId="0" borderId="33" xfId="0" applyNumberFormat="1" applyFont="1" applyBorder="1"/>
    <xf numFmtId="164" fontId="6" fillId="0" borderId="31" xfId="0" applyNumberFormat="1" applyFont="1" applyBorder="1" applyAlignment="1">
      <alignment horizontal="center" vertic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49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left" vertical="center"/>
    </xf>
    <xf numFmtId="164" fontId="6" fillId="0" borderId="52" xfId="0" applyNumberFormat="1" applyFont="1" applyBorder="1" applyAlignment="1">
      <alignment horizontal="center" vertical="center"/>
    </xf>
    <xf numFmtId="164" fontId="6" fillId="0" borderId="53" xfId="0" applyNumberFormat="1" applyFont="1" applyBorder="1" applyAlignment="1">
      <alignment horizontal="center" vertical="center"/>
    </xf>
    <xf numFmtId="0" fontId="8" fillId="8" borderId="48" xfId="0" applyFont="1" applyFill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0" fontId="8" fillId="8" borderId="49" xfId="0" applyFont="1" applyFill="1" applyBorder="1" applyAlignment="1">
      <alignment vertical="center"/>
    </xf>
    <xf numFmtId="0" fontId="8" fillId="8" borderId="46" xfId="0" applyFont="1" applyFill="1" applyBorder="1" applyAlignment="1">
      <alignment vertical="center"/>
    </xf>
    <xf numFmtId="0" fontId="6" fillId="0" borderId="50" xfId="0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10" fontId="6" fillId="0" borderId="44" xfId="0" applyNumberFormat="1" applyFont="1" applyBorder="1" applyAlignment="1">
      <alignment horizontal="center" vertical="center"/>
    </xf>
    <xf numFmtId="10" fontId="6" fillId="0" borderId="21" xfId="0" applyNumberFormat="1" applyFont="1" applyBorder="1" applyAlignment="1">
      <alignment horizontal="center" vertical="center"/>
    </xf>
    <xf numFmtId="10" fontId="6" fillId="0" borderId="50" xfId="0" applyNumberFormat="1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47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right" vertical="center"/>
    </xf>
    <xf numFmtId="164" fontId="15" fillId="0" borderId="12" xfId="0" applyNumberFormat="1" applyFont="1" applyBorder="1" applyAlignment="1">
      <alignment horizontal="center" vertical="center"/>
    </xf>
    <xf numFmtId="0" fontId="11" fillId="3" borderId="26" xfId="0" applyFont="1" applyFill="1" applyBorder="1" applyAlignment="1">
      <alignment horizontal="center"/>
    </xf>
    <xf numFmtId="164" fontId="15" fillId="0" borderId="27" xfId="0" applyNumberFormat="1" applyFont="1" applyBorder="1" applyAlignment="1">
      <alignment horizontal="center" vertical="center"/>
    </xf>
    <xf numFmtId="0" fontId="21" fillId="0" borderId="28" xfId="0" applyFont="1" applyBorder="1" applyAlignment="1">
      <alignment horizontal="center"/>
    </xf>
    <xf numFmtId="10" fontId="21" fillId="0" borderId="29" xfId="0" applyNumberFormat="1" applyFont="1" applyBorder="1" applyAlignment="1">
      <alignment horizontal="center" vertical="center"/>
    </xf>
    <xf numFmtId="0" fontId="11" fillId="3" borderId="28" xfId="0" applyFont="1" applyFill="1" applyBorder="1" applyAlignment="1">
      <alignment horizontal="center"/>
    </xf>
    <xf numFmtId="164" fontId="15" fillId="0" borderId="29" xfId="0" applyNumberFormat="1" applyFont="1" applyBorder="1" applyAlignment="1">
      <alignment horizontal="center" vertical="center"/>
    </xf>
    <xf numFmtId="0" fontId="11" fillId="3" borderId="32" xfId="0" applyFont="1" applyFill="1" applyBorder="1" applyAlignment="1">
      <alignment horizontal="center"/>
    </xf>
    <xf numFmtId="164" fontId="15" fillId="0" borderId="33" xfId="0" applyNumberFormat="1" applyFont="1" applyBorder="1" applyAlignment="1">
      <alignment horizontal="center" vertical="center"/>
    </xf>
    <xf numFmtId="164" fontId="19" fillId="0" borderId="12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1" fillId="3" borderId="26" xfId="0" applyFont="1" applyFill="1" applyBorder="1" applyAlignment="1">
      <alignment horizontal="right" vertical="center"/>
    </xf>
    <xf numFmtId="164" fontId="19" fillId="0" borderId="27" xfId="0" applyNumberFormat="1" applyFont="1" applyBorder="1"/>
    <xf numFmtId="0" fontId="21" fillId="0" borderId="28" xfId="0" applyFont="1" applyBorder="1" applyAlignment="1">
      <alignment horizontal="right" vertical="center"/>
    </xf>
    <xf numFmtId="0" fontId="11" fillId="3" borderId="28" xfId="0" applyFont="1" applyFill="1" applyBorder="1" applyAlignment="1">
      <alignment horizontal="right" vertical="center"/>
    </xf>
    <xf numFmtId="164" fontId="19" fillId="0" borderId="29" xfId="0" applyNumberFormat="1" applyFont="1" applyBorder="1"/>
    <xf numFmtId="0" fontId="11" fillId="3" borderId="32" xfId="0" applyFont="1" applyFill="1" applyBorder="1" applyAlignment="1">
      <alignment horizontal="right" vertical="center"/>
    </xf>
    <xf numFmtId="164" fontId="19" fillId="0" borderId="33" xfId="0" applyNumberFormat="1" applyFont="1" applyBorder="1"/>
    <xf numFmtId="0" fontId="0" fillId="8" borderId="28" xfId="0" applyFill="1" applyBorder="1"/>
    <xf numFmtId="10" fontId="0" fillId="8" borderId="29" xfId="0" applyNumberFormat="1" applyFill="1" applyBorder="1" applyAlignment="1">
      <alignment horizontal="center" vertical="center"/>
    </xf>
    <xf numFmtId="0" fontId="0" fillId="0" borderId="13" xfId="0" applyBorder="1"/>
    <xf numFmtId="164" fontId="0" fillId="0" borderId="0" xfId="0" applyNumberFormat="1" applyAlignment="1">
      <alignment horizontal="center" vertical="center"/>
    </xf>
    <xf numFmtId="10" fontId="0" fillId="0" borderId="54" xfId="0" applyNumberFormat="1" applyBorder="1" applyAlignment="1">
      <alignment horizontal="center" vertical="center"/>
    </xf>
    <xf numFmtId="0" fontId="0" fillId="0" borderId="28" xfId="0" applyBorder="1"/>
    <xf numFmtId="10" fontId="0" fillId="0" borderId="29" xfId="0" applyNumberFormat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10" fontId="3" fillId="0" borderId="33" xfId="0" applyNumberFormat="1" applyFont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0" borderId="54" xfId="0" applyBorder="1"/>
    <xf numFmtId="164" fontId="3" fillId="0" borderId="35" xfId="0" applyNumberFormat="1" applyFont="1" applyBorder="1"/>
    <xf numFmtId="0" fontId="0" fillId="0" borderId="43" xfId="0" applyBorder="1"/>
    <xf numFmtId="0" fontId="0" fillId="0" borderId="9" xfId="0" applyBorder="1"/>
    <xf numFmtId="164" fontId="0" fillId="8" borderId="20" xfId="0" applyNumberFormat="1" applyFill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3" fillId="0" borderId="40" xfId="0" applyNumberFormat="1" applyFont="1" applyBorder="1" applyAlignment="1">
      <alignment horizontal="center" vertical="center"/>
    </xf>
    <xf numFmtId="164" fontId="0" fillId="8" borderId="28" xfId="0" applyNumberFormat="1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0" fontId="0" fillId="8" borderId="30" xfId="0" applyFill="1" applyBorder="1"/>
    <xf numFmtId="164" fontId="0" fillId="8" borderId="25" xfId="0" applyNumberFormat="1" applyFill="1" applyBorder="1" applyAlignment="1">
      <alignment horizontal="center" vertical="center"/>
    </xf>
    <xf numFmtId="164" fontId="0" fillId="8" borderId="30" xfId="0" applyNumberFormat="1" applyFill="1" applyBorder="1" applyAlignment="1">
      <alignment horizontal="center" vertical="center"/>
    </xf>
    <xf numFmtId="10" fontId="0" fillId="8" borderId="31" xfId="0" applyNumberFormat="1" applyFill="1" applyBorder="1" applyAlignment="1">
      <alignment horizontal="center" vertical="center"/>
    </xf>
    <xf numFmtId="0" fontId="2" fillId="7" borderId="10" xfId="0" applyFont="1" applyFill="1" applyBorder="1" applyAlignment="1">
      <alignment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8" fillId="8" borderId="55" xfId="0" applyFont="1" applyFill="1" applyBorder="1"/>
    <xf numFmtId="164" fontId="8" fillId="8" borderId="51" xfId="0" applyNumberFormat="1" applyFont="1" applyFill="1" applyBorder="1" applyAlignment="1">
      <alignment horizontal="center" vertical="center"/>
    </xf>
    <xf numFmtId="10" fontId="6" fillId="8" borderId="52" xfId="0" applyNumberFormat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64" fontId="8" fillId="8" borderId="23" xfId="0" applyNumberFormat="1" applyFont="1" applyFill="1" applyBorder="1" applyAlignment="1">
      <alignment horizontal="center" vertical="center"/>
    </xf>
    <xf numFmtId="164" fontId="19" fillId="0" borderId="14" xfId="0" applyNumberFormat="1" applyFont="1" applyBorder="1" applyAlignment="1">
      <alignment horizontal="center" vertical="center"/>
    </xf>
    <xf numFmtId="10" fontId="19" fillId="0" borderId="16" xfId="0" applyNumberFormat="1" applyFont="1" applyBorder="1" applyAlignment="1">
      <alignment horizontal="center" vertical="center"/>
    </xf>
    <xf numFmtId="0" fontId="8" fillId="8" borderId="25" xfId="0" applyFont="1" applyFill="1" applyBorder="1"/>
    <xf numFmtId="164" fontId="8" fillId="8" borderId="30" xfId="0" applyNumberFormat="1" applyFont="1" applyFill="1" applyBorder="1" applyAlignment="1">
      <alignment horizontal="center" vertical="center"/>
    </xf>
    <xf numFmtId="9" fontId="6" fillId="8" borderId="31" xfId="0" applyNumberFormat="1" applyFont="1" applyFill="1" applyBorder="1" applyAlignment="1">
      <alignment horizontal="center" vertical="center"/>
    </xf>
    <xf numFmtId="164" fontId="8" fillId="8" borderId="44" xfId="0" applyNumberFormat="1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10" fontId="11" fillId="7" borderId="47" xfId="0" applyNumberFormat="1" applyFont="1" applyFill="1" applyBorder="1" applyAlignment="1">
      <alignment horizontal="center" vertical="center"/>
    </xf>
    <xf numFmtId="10" fontId="11" fillId="7" borderId="10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8" fillId="9" borderId="11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10" fontId="6" fillId="0" borderId="35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0" fontId="21" fillId="0" borderId="7" xfId="0" applyNumberFormat="1" applyFont="1" applyBorder="1" applyAlignment="1">
      <alignment horizontal="center" vertical="center"/>
    </xf>
    <xf numFmtId="10" fontId="21" fillId="0" borderId="9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164" fontId="22" fillId="0" borderId="34" xfId="0" applyNumberFormat="1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10" fontId="20" fillId="0" borderId="7" xfId="0" applyNumberFormat="1" applyFont="1" applyBorder="1" applyAlignment="1">
      <alignment horizontal="center" vertical="center"/>
    </xf>
    <xf numFmtId="10" fontId="20" fillId="0" borderId="9" xfId="0" applyNumberFormat="1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164" fontId="6" fillId="0" borderId="29" xfId="0" applyNumberFormat="1" applyFont="1" applyBorder="1" applyAlignment="1">
      <alignment horizontal="center"/>
    </xf>
    <xf numFmtId="164" fontId="6" fillId="0" borderId="35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0" fontId="7" fillId="4" borderId="10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39" xfId="0" applyNumberFormat="1" applyFont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/>
    </xf>
    <xf numFmtId="164" fontId="6" fillId="0" borderId="41" xfId="0" applyNumberFormat="1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164" fontId="12" fillId="0" borderId="34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10" borderId="57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/>
    </xf>
    <xf numFmtId="0" fontId="2" fillId="11" borderId="1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left" vertical="center"/>
    </xf>
    <xf numFmtId="0" fontId="8" fillId="8" borderId="4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8" fillId="8" borderId="2" xfId="0" applyFont="1" applyFill="1" applyBorder="1" applyAlignment="1">
      <alignment horizontal="left" vertical="center"/>
    </xf>
    <xf numFmtId="0" fontId="8" fillId="8" borderId="32" xfId="0" applyFont="1" applyFill="1" applyBorder="1" applyAlignment="1">
      <alignment horizontal="left" vertical="center"/>
    </xf>
    <xf numFmtId="0" fontId="8" fillId="8" borderId="35" xfId="0" applyFont="1" applyFill="1" applyBorder="1" applyAlignment="1">
      <alignment horizontal="left" vertical="center"/>
    </xf>
    <xf numFmtId="0" fontId="8" fillId="8" borderId="10" xfId="0" applyFont="1" applyFill="1" applyBorder="1" applyAlignment="1">
      <alignment horizontal="left" vertical="center"/>
    </xf>
    <xf numFmtId="0" fontId="8" fillId="8" borderId="11" xfId="0" applyFont="1" applyFill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213360</xdr:colOff>
      <xdr:row>12</xdr:row>
      <xdr:rowOff>76200</xdr:rowOff>
    </xdr:from>
    <xdr:to>
      <xdr:col>38</xdr:col>
      <xdr:colOff>419100</xdr:colOff>
      <xdr:row>12</xdr:row>
      <xdr:rowOff>137160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BEBF31BB-BE95-BDAC-CA49-8285E04A4235}"/>
            </a:ext>
          </a:extLst>
        </xdr:cNvPr>
        <xdr:cNvSpPr/>
      </xdr:nvSpPr>
      <xdr:spPr>
        <a:xfrm>
          <a:off x="31661100" y="2308860"/>
          <a:ext cx="205740" cy="6096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T%20E%20CUSTO%20VARI&#193;VEL%2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T%20E%20CUSTO%20VARI&#193;V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T E CUSTO VARIÁVEL"/>
      <sheetName val="CUSTOS FIXOS"/>
      <sheetName val="IMPOSTOS"/>
      <sheetName val="FAT E CSP (VARIÁVEL)"/>
    </sheetNames>
    <sheetDataSet>
      <sheetData sheetId="0" refreshError="1">
        <row r="7">
          <cell r="H7">
            <v>5884.56</v>
          </cell>
        </row>
        <row r="14">
          <cell r="E14">
            <v>241230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T E CUSTO VARIÁVEL"/>
      <sheetName val="CUSTOS FIXOS"/>
      <sheetName val="IMPOSTOS"/>
    </sheetNames>
    <sheetDataSet>
      <sheetData sheetId="0" refreshError="1">
        <row r="7">
          <cell r="I7">
            <v>19639.84</v>
          </cell>
        </row>
        <row r="14">
          <cell r="I14">
            <v>21112.828000000001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605C-55FC-4552-BADF-2D42005B0BF4}">
  <dimension ref="A1:I97"/>
  <sheetViews>
    <sheetView topLeftCell="A28" workbookViewId="0">
      <selection activeCell="E42" sqref="E42:E45"/>
    </sheetView>
  </sheetViews>
  <sheetFormatPr defaultRowHeight="14.4" x14ac:dyDescent="0.3"/>
  <cols>
    <col min="1" max="1" width="18.77734375" bestFit="1" customWidth="1"/>
    <col min="2" max="2" width="11.33203125" bestFit="1" customWidth="1"/>
    <col min="3" max="3" width="9.33203125" bestFit="1" customWidth="1"/>
    <col min="4" max="4" width="13.44140625" customWidth="1"/>
    <col min="5" max="5" width="21.88671875" customWidth="1"/>
    <col min="6" max="6" width="11.6640625" bestFit="1" customWidth="1"/>
    <col min="7" max="7" width="13.88671875" bestFit="1" customWidth="1"/>
    <col min="8" max="8" width="14.109375" bestFit="1" customWidth="1"/>
    <col min="9" max="9" width="18.88671875" bestFit="1" customWidth="1"/>
  </cols>
  <sheetData>
    <row r="1" spans="1:9" s="2" customFormat="1" ht="12.6" thickBot="1" x14ac:dyDescent="0.3"/>
    <row r="2" spans="1:9" s="2" customFormat="1" ht="12" x14ac:dyDescent="0.25">
      <c r="A2" s="182" t="s">
        <v>3</v>
      </c>
      <c r="D2" s="3"/>
      <c r="E2" s="178" t="s">
        <v>18</v>
      </c>
      <c r="F2" s="180">
        <v>7.4999999999999997E-2</v>
      </c>
    </row>
    <row r="3" spans="1:9" s="2" customFormat="1" ht="12.6" thickBot="1" x14ac:dyDescent="0.3">
      <c r="A3" s="183"/>
      <c r="E3" s="179"/>
      <c r="F3" s="181"/>
    </row>
    <row r="4" spans="1:9" s="2" customFormat="1" ht="12.6" thickBot="1" x14ac:dyDescent="0.3"/>
    <row r="5" spans="1:9" s="2" customFormat="1" thickBot="1" x14ac:dyDescent="0.35">
      <c r="A5" s="13" t="s">
        <v>4</v>
      </c>
      <c r="B5" s="56"/>
      <c r="C5" s="56"/>
      <c r="D5" s="56"/>
      <c r="E5" s="56"/>
      <c r="F5" s="56"/>
      <c r="G5" s="56"/>
      <c r="H5" s="56"/>
      <c r="I5" s="56"/>
    </row>
    <row r="6" spans="1:9" s="2" customFormat="1" ht="12.6" thickBot="1" x14ac:dyDescent="0.3">
      <c r="A6" s="4" t="s">
        <v>0</v>
      </c>
      <c r="B6" s="5" t="s">
        <v>6</v>
      </c>
      <c r="C6" s="5" t="s">
        <v>11</v>
      </c>
      <c r="D6" s="5" t="s">
        <v>14</v>
      </c>
      <c r="E6" s="5" t="s">
        <v>17</v>
      </c>
      <c r="F6" s="5" t="s">
        <v>12</v>
      </c>
      <c r="G6" s="5" t="s">
        <v>13</v>
      </c>
      <c r="H6" s="5" t="s">
        <v>15</v>
      </c>
      <c r="I6" s="6" t="s">
        <v>16</v>
      </c>
    </row>
    <row r="7" spans="1:9" s="2" customFormat="1" ht="12" x14ac:dyDescent="0.25">
      <c r="A7" s="7" t="s">
        <v>7</v>
      </c>
      <c r="B7" s="8">
        <v>440</v>
      </c>
      <c r="C7" s="9">
        <v>198</v>
      </c>
      <c r="D7" s="8">
        <f>B7*C7</f>
        <v>87120</v>
      </c>
      <c r="E7" s="173">
        <f>D7+D8+D9+D10</f>
        <v>224400</v>
      </c>
      <c r="F7" s="8">
        <v>29.5</v>
      </c>
      <c r="G7" s="8">
        <v>0.22</v>
      </c>
      <c r="H7" s="8">
        <f>(C7*F7)+(C7*G7)</f>
        <v>5884.56</v>
      </c>
      <c r="I7" s="176">
        <f>H7+H8+H9+H10</f>
        <v>19639.84</v>
      </c>
    </row>
    <row r="8" spans="1:9" s="2" customFormat="1" ht="12" x14ac:dyDescent="0.25">
      <c r="A8" s="10" t="s">
        <v>8</v>
      </c>
      <c r="B8" s="11">
        <v>220</v>
      </c>
      <c r="C8" s="12">
        <v>154</v>
      </c>
      <c r="D8" s="11">
        <f t="shared" ref="D8:D10" si="0">B8*C8</f>
        <v>33880</v>
      </c>
      <c r="E8" s="174"/>
      <c r="F8" s="11">
        <v>18</v>
      </c>
      <c r="G8" s="11">
        <v>0.22</v>
      </c>
      <c r="H8" s="11">
        <f t="shared" ref="H8:H10" si="1">(C8*F8)+(C8*G8)</f>
        <v>2805.88</v>
      </c>
      <c r="I8" s="177"/>
    </row>
    <row r="9" spans="1:9" s="2" customFormat="1" ht="12" x14ac:dyDescent="0.25">
      <c r="A9" s="10" t="s">
        <v>9</v>
      </c>
      <c r="B9" s="11">
        <v>220</v>
      </c>
      <c r="C9" s="12">
        <v>110</v>
      </c>
      <c r="D9" s="11">
        <f t="shared" si="0"/>
        <v>24200</v>
      </c>
      <c r="E9" s="174"/>
      <c r="F9" s="11">
        <v>38</v>
      </c>
      <c r="G9" s="11">
        <v>0.22</v>
      </c>
      <c r="H9" s="11">
        <f t="shared" si="1"/>
        <v>4204.2</v>
      </c>
      <c r="I9" s="177"/>
    </row>
    <row r="10" spans="1:9" s="2" customFormat="1" ht="12" x14ac:dyDescent="0.25">
      <c r="A10" s="10" t="s">
        <v>10</v>
      </c>
      <c r="B10" s="11">
        <v>120</v>
      </c>
      <c r="C10" s="12">
        <v>660</v>
      </c>
      <c r="D10" s="11">
        <f t="shared" si="0"/>
        <v>79200</v>
      </c>
      <c r="E10" s="175"/>
      <c r="F10" s="11">
        <v>10</v>
      </c>
      <c r="G10" s="11">
        <v>0.22</v>
      </c>
      <c r="H10" s="11">
        <f t="shared" si="1"/>
        <v>6745.2</v>
      </c>
      <c r="I10" s="177"/>
    </row>
    <row r="11" spans="1:9" s="2" customFormat="1" ht="12.6" thickBot="1" x14ac:dyDescent="0.3"/>
    <row r="12" spans="1:9" s="2" customFormat="1" thickBot="1" x14ac:dyDescent="0.35">
      <c r="A12" s="14" t="s">
        <v>19</v>
      </c>
      <c r="B12" s="56"/>
      <c r="C12" s="56"/>
      <c r="D12" s="56"/>
      <c r="E12" s="56"/>
      <c r="F12" s="56"/>
      <c r="G12" s="56"/>
      <c r="H12" s="56"/>
      <c r="I12" s="56"/>
    </row>
    <row r="13" spans="1:9" s="2" customFormat="1" ht="12.6" thickBot="1" x14ac:dyDescent="0.3">
      <c r="A13" s="4" t="s">
        <v>0</v>
      </c>
      <c r="B13" s="5" t="s">
        <v>6</v>
      </c>
      <c r="C13" s="5" t="s">
        <v>11</v>
      </c>
      <c r="D13" s="5" t="s">
        <v>14</v>
      </c>
      <c r="E13" s="5" t="s">
        <v>17</v>
      </c>
      <c r="F13" s="5" t="s">
        <v>12</v>
      </c>
      <c r="G13" s="5" t="s">
        <v>13</v>
      </c>
      <c r="H13" s="5" t="s">
        <v>15</v>
      </c>
      <c r="I13" s="6" t="s">
        <v>16</v>
      </c>
    </row>
    <row r="14" spans="1:9" s="2" customFormat="1" ht="12" x14ac:dyDescent="0.25">
      <c r="A14" s="10" t="s">
        <v>7</v>
      </c>
      <c r="B14" s="11">
        <v>440</v>
      </c>
      <c r="C14" s="12">
        <f>(C7*F2)+C7</f>
        <v>212.85</v>
      </c>
      <c r="D14" s="11">
        <f>B14*C14</f>
        <v>93654</v>
      </c>
      <c r="E14" s="173">
        <f>D14+D15+D16+D17</f>
        <v>241230</v>
      </c>
      <c r="F14" s="11">
        <v>29.5</v>
      </c>
      <c r="G14" s="11">
        <v>0.22</v>
      </c>
      <c r="H14" s="11">
        <f>(C14*F14)+(C14*G14)</f>
        <v>6325.902</v>
      </c>
      <c r="I14" s="176">
        <f>H14+H15+H16+H17</f>
        <v>21112.828000000001</v>
      </c>
    </row>
    <row r="15" spans="1:9" s="2" customFormat="1" ht="12" x14ac:dyDescent="0.25">
      <c r="A15" s="10" t="s">
        <v>8</v>
      </c>
      <c r="B15" s="11">
        <v>220</v>
      </c>
      <c r="C15" s="12">
        <f>(C8*F2)+C8</f>
        <v>165.55</v>
      </c>
      <c r="D15" s="11">
        <f t="shared" ref="D15:D17" si="2">B15*C15</f>
        <v>36421</v>
      </c>
      <c r="E15" s="174"/>
      <c r="F15" s="11">
        <v>18</v>
      </c>
      <c r="G15" s="11">
        <v>0.22</v>
      </c>
      <c r="H15" s="11">
        <f t="shared" ref="H15:H17" si="3">(C15*F15)+(C15*G15)</f>
        <v>3016.3209999999999</v>
      </c>
      <c r="I15" s="177"/>
    </row>
    <row r="16" spans="1:9" s="2" customFormat="1" ht="12" x14ac:dyDescent="0.25">
      <c r="A16" s="10" t="s">
        <v>9</v>
      </c>
      <c r="B16" s="11">
        <v>220</v>
      </c>
      <c r="C16" s="12">
        <f>(C9*F2)+C9</f>
        <v>118.25</v>
      </c>
      <c r="D16" s="11">
        <f t="shared" si="2"/>
        <v>26015</v>
      </c>
      <c r="E16" s="174"/>
      <c r="F16" s="11">
        <v>38</v>
      </c>
      <c r="G16" s="11">
        <v>0.22</v>
      </c>
      <c r="H16" s="11">
        <f t="shared" si="3"/>
        <v>4519.5150000000003</v>
      </c>
      <c r="I16" s="177"/>
    </row>
    <row r="17" spans="1:9" s="2" customFormat="1" ht="12" x14ac:dyDescent="0.25">
      <c r="A17" s="10" t="s">
        <v>10</v>
      </c>
      <c r="B17" s="11">
        <v>120</v>
      </c>
      <c r="C17" s="12">
        <f>(C10*F2)+C10</f>
        <v>709.5</v>
      </c>
      <c r="D17" s="11">
        <f t="shared" si="2"/>
        <v>85140</v>
      </c>
      <c r="E17" s="175"/>
      <c r="F17" s="11">
        <v>10</v>
      </c>
      <c r="G17" s="11">
        <v>0.22</v>
      </c>
      <c r="H17" s="11">
        <f t="shared" si="3"/>
        <v>7251.09</v>
      </c>
      <c r="I17" s="177"/>
    </row>
    <row r="18" spans="1:9" s="2" customFormat="1" ht="12.6" thickBot="1" x14ac:dyDescent="0.3"/>
    <row r="19" spans="1:9" s="2" customFormat="1" thickBot="1" x14ac:dyDescent="0.35">
      <c r="A19" s="14" t="s">
        <v>20</v>
      </c>
      <c r="B19" s="56"/>
      <c r="C19" s="56"/>
      <c r="D19" s="56"/>
      <c r="E19" s="56"/>
      <c r="F19" s="56"/>
      <c r="G19" s="56"/>
      <c r="H19" s="56"/>
      <c r="I19" s="56"/>
    </row>
    <row r="20" spans="1:9" s="2" customFormat="1" ht="12.6" thickBot="1" x14ac:dyDescent="0.3">
      <c r="A20" s="4" t="s">
        <v>0</v>
      </c>
      <c r="B20" s="5" t="s">
        <v>6</v>
      </c>
      <c r="C20" s="5" t="s">
        <v>11</v>
      </c>
      <c r="D20" s="5" t="s">
        <v>14</v>
      </c>
      <c r="E20" s="5" t="s">
        <v>17</v>
      </c>
      <c r="F20" s="5" t="s">
        <v>12</v>
      </c>
      <c r="G20" s="5" t="s">
        <v>13</v>
      </c>
      <c r="H20" s="5" t="s">
        <v>15</v>
      </c>
      <c r="I20" s="6" t="s">
        <v>16</v>
      </c>
    </row>
    <row r="21" spans="1:9" s="2" customFormat="1" ht="12" x14ac:dyDescent="0.25">
      <c r="A21" s="10" t="s">
        <v>7</v>
      </c>
      <c r="B21" s="11">
        <v>440</v>
      </c>
      <c r="C21" s="12">
        <f>(C14*F2)+C14</f>
        <v>228.81375</v>
      </c>
      <c r="D21" s="11">
        <f>B21*C21</f>
        <v>100678.05</v>
      </c>
      <c r="E21" s="173">
        <f>D21+D22+D23+D24</f>
        <v>259322.25</v>
      </c>
      <c r="F21" s="11">
        <v>29.5</v>
      </c>
      <c r="G21" s="11">
        <v>0.22</v>
      </c>
      <c r="H21" s="11">
        <f>(C21*F21)+(C21*G21)</f>
        <v>6800.34465</v>
      </c>
      <c r="I21" s="176">
        <f>H21+H22+H23+H24</f>
        <v>22696.290100000002</v>
      </c>
    </row>
    <row r="22" spans="1:9" s="2" customFormat="1" ht="12" x14ac:dyDescent="0.25">
      <c r="A22" s="10" t="s">
        <v>8</v>
      </c>
      <c r="B22" s="11">
        <v>220</v>
      </c>
      <c r="C22" s="12">
        <f>(C15*F2)+C15</f>
        <v>177.96625</v>
      </c>
      <c r="D22" s="11">
        <f t="shared" ref="D22:D24" si="4">B22*C22</f>
        <v>39152.574999999997</v>
      </c>
      <c r="E22" s="174"/>
      <c r="F22" s="11">
        <v>18</v>
      </c>
      <c r="G22" s="11">
        <v>0.22</v>
      </c>
      <c r="H22" s="11">
        <f t="shared" ref="H22:H24" si="5">(C22*F22)+(C22*G22)</f>
        <v>3242.545075</v>
      </c>
      <c r="I22" s="177"/>
    </row>
    <row r="23" spans="1:9" s="2" customFormat="1" ht="12" x14ac:dyDescent="0.25">
      <c r="A23" s="10" t="s">
        <v>9</v>
      </c>
      <c r="B23" s="11">
        <v>220</v>
      </c>
      <c r="C23" s="12">
        <f>(C16*F2)+C16</f>
        <v>127.11875000000001</v>
      </c>
      <c r="D23" s="11">
        <f t="shared" si="4"/>
        <v>27966.125</v>
      </c>
      <c r="E23" s="174"/>
      <c r="F23" s="11">
        <v>38</v>
      </c>
      <c r="G23" s="11">
        <v>0.22</v>
      </c>
      <c r="H23" s="11">
        <f t="shared" si="5"/>
        <v>4858.4786249999997</v>
      </c>
      <c r="I23" s="177"/>
    </row>
    <row r="24" spans="1:9" s="2" customFormat="1" ht="12" x14ac:dyDescent="0.25">
      <c r="A24" s="10" t="s">
        <v>10</v>
      </c>
      <c r="B24" s="11">
        <v>120</v>
      </c>
      <c r="C24" s="12">
        <f>(C17*F2)+C17</f>
        <v>762.71249999999998</v>
      </c>
      <c r="D24" s="11">
        <f t="shared" si="4"/>
        <v>91525.5</v>
      </c>
      <c r="E24" s="175"/>
      <c r="F24" s="11">
        <v>10</v>
      </c>
      <c r="G24" s="11">
        <v>0.22</v>
      </c>
      <c r="H24" s="11">
        <f t="shared" si="5"/>
        <v>7794.9217500000004</v>
      </c>
      <c r="I24" s="177"/>
    </row>
    <row r="25" spans="1:9" s="2" customFormat="1" ht="12.6" thickBot="1" x14ac:dyDescent="0.3"/>
    <row r="26" spans="1:9" s="2" customFormat="1" thickBot="1" x14ac:dyDescent="0.35">
      <c r="A26" s="14" t="s">
        <v>21</v>
      </c>
      <c r="B26" s="56"/>
      <c r="C26" s="56"/>
      <c r="D26" s="56"/>
      <c r="E26" s="56"/>
      <c r="F26" s="56"/>
      <c r="G26" s="56"/>
      <c r="H26" s="56"/>
      <c r="I26" s="56"/>
    </row>
    <row r="27" spans="1:9" s="2" customFormat="1" ht="12.6" thickBot="1" x14ac:dyDescent="0.3">
      <c r="A27" s="4" t="s">
        <v>0</v>
      </c>
      <c r="B27" s="5" t="s">
        <v>6</v>
      </c>
      <c r="C27" s="5" t="s">
        <v>11</v>
      </c>
      <c r="D27" s="5" t="s">
        <v>14</v>
      </c>
      <c r="E27" s="5" t="s">
        <v>17</v>
      </c>
      <c r="F27" s="5" t="s">
        <v>12</v>
      </c>
      <c r="G27" s="5" t="s">
        <v>13</v>
      </c>
      <c r="H27" s="5" t="s">
        <v>15</v>
      </c>
      <c r="I27" s="6" t="s">
        <v>16</v>
      </c>
    </row>
    <row r="28" spans="1:9" s="2" customFormat="1" ht="12" x14ac:dyDescent="0.25">
      <c r="A28" s="10" t="s">
        <v>7</v>
      </c>
      <c r="B28" s="11">
        <v>440</v>
      </c>
      <c r="C28" s="12">
        <f>(C21*F2)+C21</f>
        <v>245.97478125000001</v>
      </c>
      <c r="D28" s="11">
        <f>B28*C28</f>
        <v>108228.90375</v>
      </c>
      <c r="E28" s="173">
        <f>D28+D29+D30+D31</f>
        <v>278771.41875000001</v>
      </c>
      <c r="F28" s="11">
        <v>29.5</v>
      </c>
      <c r="G28" s="11">
        <v>0.22</v>
      </c>
      <c r="H28" s="11">
        <f>(C28*F28)+(C28*G28)</f>
        <v>7310.3704987499996</v>
      </c>
      <c r="I28" s="176">
        <f>H28+H29+H30+H31</f>
        <v>24398.511857499998</v>
      </c>
    </row>
    <row r="29" spans="1:9" s="2" customFormat="1" ht="12" x14ac:dyDescent="0.25">
      <c r="A29" s="10" t="s">
        <v>8</v>
      </c>
      <c r="B29" s="11">
        <v>220</v>
      </c>
      <c r="C29" s="12">
        <f>(C22*F2)+C22</f>
        <v>191.31371874999999</v>
      </c>
      <c r="D29" s="11">
        <f t="shared" ref="D29:D31" si="6">B29*C29</f>
        <v>42089.018124999995</v>
      </c>
      <c r="E29" s="174"/>
      <c r="F29" s="11">
        <v>18</v>
      </c>
      <c r="G29" s="11">
        <v>0.22</v>
      </c>
      <c r="H29" s="11">
        <f t="shared" ref="H29:H31" si="7">(C29*F29)+(C29*G29)</f>
        <v>3485.7359556249999</v>
      </c>
      <c r="I29" s="177"/>
    </row>
    <row r="30" spans="1:9" s="2" customFormat="1" ht="12" x14ac:dyDescent="0.25">
      <c r="A30" s="10" t="s">
        <v>9</v>
      </c>
      <c r="B30" s="11">
        <v>220</v>
      </c>
      <c r="C30" s="12">
        <f>(C23*F2)+C23</f>
        <v>136.65265625000001</v>
      </c>
      <c r="D30" s="11">
        <f t="shared" si="6"/>
        <v>30063.584375000002</v>
      </c>
      <c r="E30" s="174"/>
      <c r="F30" s="11">
        <v>38</v>
      </c>
      <c r="G30" s="11">
        <v>0.22</v>
      </c>
      <c r="H30" s="11">
        <f t="shared" si="7"/>
        <v>5222.8645218749998</v>
      </c>
      <c r="I30" s="177"/>
    </row>
    <row r="31" spans="1:9" s="2" customFormat="1" ht="12" x14ac:dyDescent="0.25">
      <c r="A31" s="10" t="s">
        <v>10</v>
      </c>
      <c r="B31" s="11">
        <v>120</v>
      </c>
      <c r="C31" s="12">
        <f>(C24*F2)+C24</f>
        <v>819.91593749999993</v>
      </c>
      <c r="D31" s="11">
        <f t="shared" si="6"/>
        <v>98389.912499999991</v>
      </c>
      <c r="E31" s="175"/>
      <c r="F31" s="11">
        <v>10</v>
      </c>
      <c r="G31" s="11">
        <v>0.22</v>
      </c>
      <c r="H31" s="11">
        <f t="shared" si="7"/>
        <v>8379.5408812499991</v>
      </c>
      <c r="I31" s="177"/>
    </row>
    <row r="32" spans="1:9" s="2" customFormat="1" ht="12.6" thickBot="1" x14ac:dyDescent="0.3"/>
    <row r="33" spans="1:9" s="2" customFormat="1" thickBot="1" x14ac:dyDescent="0.35">
      <c r="A33" s="14" t="s">
        <v>22</v>
      </c>
      <c r="B33" s="56"/>
      <c r="C33" s="56"/>
      <c r="D33" s="56"/>
      <c r="E33" s="56"/>
      <c r="F33" s="56"/>
      <c r="G33" s="56"/>
      <c r="H33" s="56"/>
      <c r="I33" s="56"/>
    </row>
    <row r="34" spans="1:9" s="2" customFormat="1" ht="12.6" thickBot="1" x14ac:dyDescent="0.3">
      <c r="A34" s="4" t="s">
        <v>0</v>
      </c>
      <c r="B34" s="5" t="s">
        <v>6</v>
      </c>
      <c r="C34" s="5" t="s">
        <v>11</v>
      </c>
      <c r="D34" s="5" t="s">
        <v>14</v>
      </c>
      <c r="E34" s="5" t="s">
        <v>17</v>
      </c>
      <c r="F34" s="5" t="s">
        <v>12</v>
      </c>
      <c r="G34" s="5" t="s">
        <v>13</v>
      </c>
      <c r="H34" s="5" t="s">
        <v>15</v>
      </c>
      <c r="I34" s="6" t="s">
        <v>16</v>
      </c>
    </row>
    <row r="35" spans="1:9" s="2" customFormat="1" ht="12" x14ac:dyDescent="0.25">
      <c r="A35" s="10" t="s">
        <v>7</v>
      </c>
      <c r="B35" s="11">
        <v>440</v>
      </c>
      <c r="C35" s="12">
        <f>(C28*F2)+C28</f>
        <v>264.42288984375</v>
      </c>
      <c r="D35" s="11">
        <f>B35*C35</f>
        <v>116346.07153125</v>
      </c>
      <c r="E35" s="173">
        <f>D35+D36+D37+D38</f>
        <v>299679.27515624999</v>
      </c>
      <c r="F35" s="11">
        <v>29.5</v>
      </c>
      <c r="G35" s="11">
        <v>0.22</v>
      </c>
      <c r="H35" s="11">
        <f>(C35*F35)+(C35*G35)</f>
        <v>7858.6482861562499</v>
      </c>
      <c r="I35" s="176">
        <f>H35+H36+H37+H38</f>
        <v>26228.4002468125</v>
      </c>
    </row>
    <row r="36" spans="1:9" s="2" customFormat="1" ht="12" x14ac:dyDescent="0.25">
      <c r="A36" s="10" t="s">
        <v>8</v>
      </c>
      <c r="B36" s="11">
        <v>220</v>
      </c>
      <c r="C36" s="12">
        <f>(C29*F2)+C29</f>
        <v>205.66224765625</v>
      </c>
      <c r="D36" s="11">
        <f t="shared" ref="D36:D38" si="8">B36*C36</f>
        <v>45245.694484375003</v>
      </c>
      <c r="E36" s="174"/>
      <c r="F36" s="11">
        <v>18</v>
      </c>
      <c r="G36" s="11">
        <v>0.22</v>
      </c>
      <c r="H36" s="11">
        <f t="shared" ref="H36:H38" si="9">(C36*F36)+(C36*G36)</f>
        <v>3747.1661522968748</v>
      </c>
      <c r="I36" s="177"/>
    </row>
    <row r="37" spans="1:9" s="2" customFormat="1" ht="12" x14ac:dyDescent="0.25">
      <c r="A37" s="10" t="s">
        <v>9</v>
      </c>
      <c r="B37" s="11">
        <v>220</v>
      </c>
      <c r="C37" s="12">
        <f>(C30*F2)+C30</f>
        <v>146.90160546875001</v>
      </c>
      <c r="D37" s="11">
        <f t="shared" si="8"/>
        <v>32318.353203125</v>
      </c>
      <c r="E37" s="174"/>
      <c r="F37" s="11">
        <v>38</v>
      </c>
      <c r="G37" s="11">
        <v>0.22</v>
      </c>
      <c r="H37" s="11">
        <f t="shared" si="9"/>
        <v>5614.5793610156252</v>
      </c>
      <c r="I37" s="177"/>
    </row>
    <row r="38" spans="1:9" s="2" customFormat="1" ht="12" x14ac:dyDescent="0.25">
      <c r="A38" s="10" t="s">
        <v>10</v>
      </c>
      <c r="B38" s="11">
        <v>120</v>
      </c>
      <c r="C38" s="12">
        <f>(C31*F2)+C31</f>
        <v>881.40963281249992</v>
      </c>
      <c r="D38" s="11">
        <f t="shared" si="8"/>
        <v>105769.15593749999</v>
      </c>
      <c r="E38" s="175"/>
      <c r="F38" s="11">
        <v>10</v>
      </c>
      <c r="G38" s="11">
        <v>0.22</v>
      </c>
      <c r="H38" s="11">
        <f t="shared" si="9"/>
        <v>9008.0064473437487</v>
      </c>
      <c r="I38" s="177"/>
    </row>
    <row r="39" spans="1:9" s="2" customFormat="1" ht="12.6" thickBot="1" x14ac:dyDescent="0.3"/>
    <row r="40" spans="1:9" s="2" customFormat="1" thickBot="1" x14ac:dyDescent="0.35">
      <c r="A40" s="14" t="s">
        <v>23</v>
      </c>
      <c r="B40" s="56"/>
      <c r="C40" s="56"/>
      <c r="D40" s="56"/>
      <c r="E40" s="56"/>
      <c r="F40" s="56"/>
      <c r="G40" s="56"/>
      <c r="H40" s="56"/>
      <c r="I40" s="56"/>
    </row>
    <row r="41" spans="1:9" s="2" customFormat="1" ht="12.6" thickBot="1" x14ac:dyDescent="0.3">
      <c r="A41" s="4" t="s">
        <v>0</v>
      </c>
      <c r="B41" s="5" t="s">
        <v>6</v>
      </c>
      <c r="C41" s="5" t="s">
        <v>11</v>
      </c>
      <c r="D41" s="5" t="s">
        <v>14</v>
      </c>
      <c r="E41" s="5" t="s">
        <v>17</v>
      </c>
      <c r="F41" s="5" t="s">
        <v>12</v>
      </c>
      <c r="G41" s="5" t="s">
        <v>13</v>
      </c>
      <c r="H41" s="5" t="s">
        <v>15</v>
      </c>
      <c r="I41" s="6" t="s">
        <v>16</v>
      </c>
    </row>
    <row r="42" spans="1:9" s="2" customFormat="1" ht="12" x14ac:dyDescent="0.25">
      <c r="A42" s="10" t="s">
        <v>7</v>
      </c>
      <c r="B42" s="11">
        <v>440</v>
      </c>
      <c r="C42" s="12">
        <f>(C35*F2)+C35</f>
        <v>284.25460658203127</v>
      </c>
      <c r="D42" s="11">
        <f>B42*C42</f>
        <v>125072.02689609375</v>
      </c>
      <c r="E42" s="173">
        <f>D42+D43+D44+D45</f>
        <v>322155.22079296876</v>
      </c>
      <c r="F42" s="11">
        <v>29.5</v>
      </c>
      <c r="G42" s="11">
        <v>0.22</v>
      </c>
      <c r="H42" s="11">
        <f>(C42*F42)+(C42*G42)</f>
        <v>8448.0469076179688</v>
      </c>
      <c r="I42" s="176">
        <f>H42+H43+H44+H45</f>
        <v>28195.530265323439</v>
      </c>
    </row>
    <row r="43" spans="1:9" s="2" customFormat="1" ht="12" x14ac:dyDescent="0.25">
      <c r="A43" s="10" t="s">
        <v>8</v>
      </c>
      <c r="B43" s="11">
        <v>220</v>
      </c>
      <c r="C43" s="12">
        <f>(C36*F2)+C36</f>
        <v>221.08691623046874</v>
      </c>
      <c r="D43" s="11">
        <f t="shared" ref="D43:D45" si="10">B43*C43</f>
        <v>48639.121570703122</v>
      </c>
      <c r="E43" s="174"/>
      <c r="F43" s="11">
        <v>18</v>
      </c>
      <c r="G43" s="11">
        <v>0.22</v>
      </c>
      <c r="H43" s="11">
        <f t="shared" ref="H43:H45" si="11">(C43*F43)+(C43*G43)</f>
        <v>4028.2036137191403</v>
      </c>
      <c r="I43" s="177"/>
    </row>
    <row r="44" spans="1:9" s="2" customFormat="1" ht="12" x14ac:dyDescent="0.25">
      <c r="A44" s="10" t="s">
        <v>9</v>
      </c>
      <c r="B44" s="11">
        <v>220</v>
      </c>
      <c r="C44" s="12">
        <f>(C37*F2)+C37</f>
        <v>157.91922587890625</v>
      </c>
      <c r="D44" s="11">
        <f t="shared" si="10"/>
        <v>34742.229693359375</v>
      </c>
      <c r="E44" s="174"/>
      <c r="F44" s="11">
        <v>38</v>
      </c>
      <c r="G44" s="11">
        <v>0.22</v>
      </c>
      <c r="H44" s="11">
        <f t="shared" si="11"/>
        <v>6035.6728130917963</v>
      </c>
      <c r="I44" s="177"/>
    </row>
    <row r="45" spans="1:9" s="2" customFormat="1" ht="12" x14ac:dyDescent="0.25">
      <c r="A45" s="10" t="s">
        <v>10</v>
      </c>
      <c r="B45" s="11">
        <v>120</v>
      </c>
      <c r="C45" s="12">
        <f>(C38*F2)+C38</f>
        <v>947.51535527343742</v>
      </c>
      <c r="D45" s="11">
        <f t="shared" si="10"/>
        <v>113701.84263281249</v>
      </c>
      <c r="E45" s="175"/>
      <c r="F45" s="11">
        <v>10</v>
      </c>
      <c r="G45" s="11">
        <v>0.22</v>
      </c>
      <c r="H45" s="11">
        <f t="shared" si="11"/>
        <v>9683.6069308945316</v>
      </c>
      <c r="I45" s="177"/>
    </row>
    <row r="46" spans="1:9" s="2" customFormat="1" ht="12.6" thickBot="1" x14ac:dyDescent="0.3"/>
    <row r="47" spans="1:9" s="2" customFormat="1" thickBot="1" x14ac:dyDescent="0.35">
      <c r="A47" s="14" t="s">
        <v>24</v>
      </c>
      <c r="B47" s="56"/>
      <c r="C47" s="56"/>
      <c r="D47" s="56"/>
      <c r="E47" s="56"/>
      <c r="F47" s="56"/>
      <c r="G47" s="56"/>
      <c r="H47" s="56"/>
      <c r="I47" s="56"/>
    </row>
    <row r="48" spans="1:9" s="2" customFormat="1" ht="12.6" thickBot="1" x14ac:dyDescent="0.3">
      <c r="A48" s="4" t="s">
        <v>0</v>
      </c>
      <c r="B48" s="5" t="s">
        <v>6</v>
      </c>
      <c r="C48" s="5" t="s">
        <v>11</v>
      </c>
      <c r="D48" s="5" t="s">
        <v>14</v>
      </c>
      <c r="E48" s="5" t="s">
        <v>17</v>
      </c>
      <c r="F48" s="5" t="s">
        <v>12</v>
      </c>
      <c r="G48" s="5" t="s">
        <v>13</v>
      </c>
      <c r="H48" s="5" t="s">
        <v>15</v>
      </c>
      <c r="I48" s="6" t="s">
        <v>16</v>
      </c>
    </row>
    <row r="49" spans="1:9" s="2" customFormat="1" ht="12" x14ac:dyDescent="0.25">
      <c r="A49" s="10" t="s">
        <v>7</v>
      </c>
      <c r="B49" s="11">
        <v>440</v>
      </c>
      <c r="C49" s="12">
        <f>(C42*F2)+C42</f>
        <v>305.57370207568363</v>
      </c>
      <c r="D49" s="11">
        <f>B49*C49</f>
        <v>134452.4289133008</v>
      </c>
      <c r="E49" s="173">
        <f>D49+D50+D51+D52</f>
        <v>346316.86235244141</v>
      </c>
      <c r="F49" s="11">
        <v>29.5</v>
      </c>
      <c r="G49" s="11">
        <v>0.22</v>
      </c>
      <c r="H49" s="11">
        <f>(C49*F49)+(C49*G49)</f>
        <v>9081.6504256893168</v>
      </c>
      <c r="I49" s="176">
        <f>H49+H50+H51+H52</f>
        <v>30310.195035222692</v>
      </c>
    </row>
    <row r="50" spans="1:9" s="2" customFormat="1" ht="12" x14ac:dyDescent="0.25">
      <c r="A50" s="10" t="s">
        <v>8</v>
      </c>
      <c r="B50" s="11">
        <v>220</v>
      </c>
      <c r="C50" s="12">
        <f>(C43*F2)+C43</f>
        <v>237.66843494775389</v>
      </c>
      <c r="D50" s="11">
        <f t="shared" ref="D50:D52" si="12">B50*C50</f>
        <v>52287.055688505854</v>
      </c>
      <c r="E50" s="174"/>
      <c r="F50" s="11">
        <v>18</v>
      </c>
      <c r="G50" s="11">
        <v>0.22</v>
      </c>
      <c r="H50" s="11">
        <f t="shared" ref="H50:H52" si="13">(C50*F50)+(C50*G50)</f>
        <v>4330.3188847480751</v>
      </c>
      <c r="I50" s="177"/>
    </row>
    <row r="51" spans="1:9" s="2" customFormat="1" ht="12" x14ac:dyDescent="0.25">
      <c r="A51" s="10" t="s">
        <v>9</v>
      </c>
      <c r="B51" s="11">
        <v>220</v>
      </c>
      <c r="C51" s="12">
        <f>(C44*F2)+C44</f>
        <v>169.76316781982422</v>
      </c>
      <c r="D51" s="11">
        <f t="shared" si="12"/>
        <v>37347.896920361331</v>
      </c>
      <c r="E51" s="174"/>
      <c r="F51" s="11">
        <v>38</v>
      </c>
      <c r="G51" s="11">
        <v>0.22</v>
      </c>
      <c r="H51" s="11">
        <f t="shared" si="13"/>
        <v>6488.3482740736818</v>
      </c>
      <c r="I51" s="177"/>
    </row>
    <row r="52" spans="1:9" s="2" customFormat="1" ht="12" x14ac:dyDescent="0.25">
      <c r="A52" s="10" t="s">
        <v>10</v>
      </c>
      <c r="B52" s="11">
        <v>120</v>
      </c>
      <c r="C52" s="12">
        <f>(C45*F2)+C45</f>
        <v>1018.5790069189452</v>
      </c>
      <c r="D52" s="11">
        <f t="shared" si="12"/>
        <v>122229.48083027342</v>
      </c>
      <c r="E52" s="175"/>
      <c r="F52" s="11">
        <v>10</v>
      </c>
      <c r="G52" s="11">
        <v>0.22</v>
      </c>
      <c r="H52" s="11">
        <f t="shared" si="13"/>
        <v>10409.87745071162</v>
      </c>
      <c r="I52" s="177"/>
    </row>
    <row r="53" spans="1:9" s="2" customFormat="1" ht="12.6" thickBot="1" x14ac:dyDescent="0.3"/>
    <row r="54" spans="1:9" s="2" customFormat="1" thickBot="1" x14ac:dyDescent="0.35">
      <c r="A54" s="14" t="s">
        <v>25</v>
      </c>
      <c r="B54" s="56"/>
      <c r="C54" s="56"/>
      <c r="D54" s="56"/>
      <c r="E54" s="56"/>
      <c r="F54" s="56"/>
      <c r="G54" s="56"/>
      <c r="H54" s="56"/>
      <c r="I54" s="56"/>
    </row>
    <row r="55" spans="1:9" s="2" customFormat="1" ht="12.6" thickBot="1" x14ac:dyDescent="0.3">
      <c r="A55" s="4" t="s">
        <v>0</v>
      </c>
      <c r="B55" s="5" t="s">
        <v>6</v>
      </c>
      <c r="C55" s="5" t="s">
        <v>11</v>
      </c>
      <c r="D55" s="5" t="s">
        <v>14</v>
      </c>
      <c r="E55" s="5" t="s">
        <v>17</v>
      </c>
      <c r="F55" s="5" t="s">
        <v>12</v>
      </c>
      <c r="G55" s="5" t="s">
        <v>13</v>
      </c>
      <c r="H55" s="5" t="s">
        <v>15</v>
      </c>
      <c r="I55" s="6" t="s">
        <v>16</v>
      </c>
    </row>
    <row r="56" spans="1:9" s="2" customFormat="1" ht="12" x14ac:dyDescent="0.25">
      <c r="A56" s="10" t="s">
        <v>7</v>
      </c>
      <c r="B56" s="11">
        <v>440</v>
      </c>
      <c r="C56" s="12">
        <f>(C49*F2)+C49</f>
        <v>328.4917297313599</v>
      </c>
      <c r="D56" s="11">
        <f>B56*C56</f>
        <v>144536.36108179836</v>
      </c>
      <c r="E56" s="173">
        <f>D56+D57+D58+D59</f>
        <v>372290.62702887447</v>
      </c>
      <c r="F56" s="11">
        <v>29.5</v>
      </c>
      <c r="G56" s="11">
        <v>0.22</v>
      </c>
      <c r="H56" s="11">
        <f>(C56*F56)+(C56*G56)</f>
        <v>9762.7742076160157</v>
      </c>
      <c r="I56" s="176">
        <f>H56+H57+H58+H59</f>
        <v>32583.459662864392</v>
      </c>
    </row>
    <row r="57" spans="1:9" s="2" customFormat="1" ht="12" x14ac:dyDescent="0.25">
      <c r="A57" s="10" t="s">
        <v>8</v>
      </c>
      <c r="B57" s="11">
        <v>220</v>
      </c>
      <c r="C57" s="12">
        <f>(C50*F2)+C50</f>
        <v>255.49356756883543</v>
      </c>
      <c r="D57" s="11">
        <f t="shared" ref="D57:D59" si="14">B57*C57</f>
        <v>56208.584865143792</v>
      </c>
      <c r="E57" s="174"/>
      <c r="F57" s="11">
        <v>18</v>
      </c>
      <c r="G57" s="11">
        <v>0.22</v>
      </c>
      <c r="H57" s="11">
        <f t="shared" ref="H57:H59" si="15">(C57*F57)+(C57*G57)</f>
        <v>4655.0928011041815</v>
      </c>
      <c r="I57" s="177"/>
    </row>
    <row r="58" spans="1:9" s="2" customFormat="1" ht="12" x14ac:dyDescent="0.25">
      <c r="A58" s="10" t="s">
        <v>9</v>
      </c>
      <c r="B58" s="11">
        <v>220</v>
      </c>
      <c r="C58" s="12">
        <f>(C51*F2)+C51</f>
        <v>182.49540540631102</v>
      </c>
      <c r="D58" s="11">
        <f t="shared" si="14"/>
        <v>40148.989189388427</v>
      </c>
      <c r="E58" s="174"/>
      <c r="F58" s="11">
        <v>38</v>
      </c>
      <c r="G58" s="11">
        <v>0.22</v>
      </c>
      <c r="H58" s="11">
        <f t="shared" si="15"/>
        <v>6974.9743946292065</v>
      </c>
      <c r="I58" s="177"/>
    </row>
    <row r="59" spans="1:9" s="2" customFormat="1" ht="12" x14ac:dyDescent="0.25">
      <c r="A59" s="10" t="s">
        <v>10</v>
      </c>
      <c r="B59" s="11">
        <v>120</v>
      </c>
      <c r="C59" s="12">
        <f>(C52*F2)+C52</f>
        <v>1094.972432437866</v>
      </c>
      <c r="D59" s="11">
        <f t="shared" si="14"/>
        <v>131396.69189254392</v>
      </c>
      <c r="E59" s="175"/>
      <c r="F59" s="11">
        <v>10</v>
      </c>
      <c r="G59" s="11">
        <v>0.22</v>
      </c>
      <c r="H59" s="11">
        <f t="shared" si="15"/>
        <v>11190.618259514989</v>
      </c>
      <c r="I59" s="177"/>
    </row>
    <row r="60" spans="1:9" s="2" customFormat="1" ht="12.6" thickBot="1" x14ac:dyDescent="0.3"/>
    <row r="61" spans="1:9" s="2" customFormat="1" thickBot="1" x14ac:dyDescent="0.35">
      <c r="A61" s="14" t="s">
        <v>26</v>
      </c>
      <c r="B61" s="56"/>
      <c r="C61" s="56"/>
      <c r="D61" s="56"/>
      <c r="E61" s="56"/>
      <c r="F61" s="56"/>
      <c r="G61" s="56"/>
      <c r="H61" s="56"/>
      <c r="I61" s="56"/>
    </row>
    <row r="62" spans="1:9" s="2" customFormat="1" ht="12.6" thickBot="1" x14ac:dyDescent="0.3">
      <c r="A62" s="4" t="s">
        <v>0</v>
      </c>
      <c r="B62" s="5" t="s">
        <v>6</v>
      </c>
      <c r="C62" s="5" t="s">
        <v>11</v>
      </c>
      <c r="D62" s="5" t="s">
        <v>14</v>
      </c>
      <c r="E62" s="5" t="s">
        <v>17</v>
      </c>
      <c r="F62" s="5" t="s">
        <v>12</v>
      </c>
      <c r="G62" s="5" t="s">
        <v>13</v>
      </c>
      <c r="H62" s="5" t="s">
        <v>15</v>
      </c>
      <c r="I62" s="6" t="s">
        <v>16</v>
      </c>
    </row>
    <row r="63" spans="1:9" s="2" customFormat="1" ht="12" x14ac:dyDescent="0.25">
      <c r="A63" s="10" t="s">
        <v>7</v>
      </c>
      <c r="B63" s="11">
        <v>440</v>
      </c>
      <c r="C63" s="12">
        <f>(C56*F2)+C56</f>
        <v>353.12860946121191</v>
      </c>
      <c r="D63" s="11">
        <f>B63*C63</f>
        <v>155376.58816293324</v>
      </c>
      <c r="E63" s="173">
        <f>D63+D64+D65+D66</f>
        <v>400212.42405604006</v>
      </c>
      <c r="F63" s="11">
        <v>29.5</v>
      </c>
      <c r="G63" s="11">
        <v>0.22</v>
      </c>
      <c r="H63" s="11">
        <f>(C63*F63)+(C63*G63)</f>
        <v>10494.982273187217</v>
      </c>
      <c r="I63" s="176">
        <f>H63+H64+H65+H66</f>
        <v>35027.219137579224</v>
      </c>
    </row>
    <row r="64" spans="1:9" s="2" customFormat="1" ht="12" x14ac:dyDescent="0.25">
      <c r="A64" s="10" t="s">
        <v>8</v>
      </c>
      <c r="B64" s="11">
        <v>220</v>
      </c>
      <c r="C64" s="12">
        <f>(C57*F2)+C57</f>
        <v>274.65558513649808</v>
      </c>
      <c r="D64" s="11">
        <f t="shared" ref="D64:D66" si="16">B64*C64</f>
        <v>60424.228730029579</v>
      </c>
      <c r="E64" s="174"/>
      <c r="F64" s="11">
        <v>18</v>
      </c>
      <c r="G64" s="11">
        <v>0.22</v>
      </c>
      <c r="H64" s="11">
        <f t="shared" ref="H64:H66" si="17">(C64*F64)+(C64*G64)</f>
        <v>5004.2247611869952</v>
      </c>
      <c r="I64" s="177"/>
    </row>
    <row r="65" spans="1:9" s="2" customFormat="1" ht="12" x14ac:dyDescent="0.25">
      <c r="A65" s="10" t="s">
        <v>9</v>
      </c>
      <c r="B65" s="11">
        <v>220</v>
      </c>
      <c r="C65" s="12">
        <f>(C58*F2)+C58</f>
        <v>196.18256081178436</v>
      </c>
      <c r="D65" s="11">
        <f t="shared" si="16"/>
        <v>43160.163378592559</v>
      </c>
      <c r="E65" s="174"/>
      <c r="F65" s="11">
        <v>38</v>
      </c>
      <c r="G65" s="11">
        <v>0.22</v>
      </c>
      <c r="H65" s="11">
        <f t="shared" si="17"/>
        <v>7498.0974742263979</v>
      </c>
      <c r="I65" s="177"/>
    </row>
    <row r="66" spans="1:9" s="2" customFormat="1" ht="12" x14ac:dyDescent="0.25">
      <c r="A66" s="10" t="s">
        <v>10</v>
      </c>
      <c r="B66" s="11">
        <v>120</v>
      </c>
      <c r="C66" s="12">
        <f>(C59*F2)+C59</f>
        <v>1177.0953648707059</v>
      </c>
      <c r="D66" s="11">
        <f t="shared" si="16"/>
        <v>141251.4437844847</v>
      </c>
      <c r="E66" s="175"/>
      <c r="F66" s="11">
        <v>10</v>
      </c>
      <c r="G66" s="11">
        <v>0.22</v>
      </c>
      <c r="H66" s="11">
        <f t="shared" si="17"/>
        <v>12029.914628978613</v>
      </c>
      <c r="I66" s="177"/>
    </row>
    <row r="67" spans="1:9" s="2" customFormat="1" ht="12.6" thickBot="1" x14ac:dyDescent="0.3"/>
    <row r="68" spans="1:9" s="2" customFormat="1" thickBot="1" x14ac:dyDescent="0.35">
      <c r="A68" s="14" t="s">
        <v>27</v>
      </c>
      <c r="B68" s="56"/>
      <c r="C68" s="56"/>
      <c r="D68" s="56"/>
      <c r="E68" s="56"/>
      <c r="F68" s="56"/>
      <c r="G68" s="56"/>
      <c r="H68" s="56"/>
      <c r="I68" s="56"/>
    </row>
    <row r="69" spans="1:9" s="2" customFormat="1" ht="12.6" thickBot="1" x14ac:dyDescent="0.3">
      <c r="A69" s="4" t="s">
        <v>0</v>
      </c>
      <c r="B69" s="5" t="s">
        <v>6</v>
      </c>
      <c r="C69" s="5" t="s">
        <v>11</v>
      </c>
      <c r="D69" s="5" t="s">
        <v>14</v>
      </c>
      <c r="E69" s="5" t="s">
        <v>17</v>
      </c>
      <c r="F69" s="5" t="s">
        <v>12</v>
      </c>
      <c r="G69" s="5" t="s">
        <v>13</v>
      </c>
      <c r="H69" s="5" t="s">
        <v>15</v>
      </c>
      <c r="I69" s="6" t="s">
        <v>16</v>
      </c>
    </row>
    <row r="70" spans="1:9" s="2" customFormat="1" ht="12" x14ac:dyDescent="0.25">
      <c r="A70" s="10" t="s">
        <v>7</v>
      </c>
      <c r="B70" s="11">
        <v>440</v>
      </c>
      <c r="C70" s="12">
        <f>(C63*F2)+C63</f>
        <v>379.6132551708028</v>
      </c>
      <c r="D70" s="11">
        <f>B70*C70</f>
        <v>167029.83227515323</v>
      </c>
      <c r="E70" s="173">
        <f>D70+D71+D72+D73</f>
        <v>430228.35586024309</v>
      </c>
      <c r="F70" s="11">
        <v>29.5</v>
      </c>
      <c r="G70" s="11">
        <v>0.22</v>
      </c>
      <c r="H70" s="11">
        <f>(C70*F70)+(C70*G70)</f>
        <v>11282.105943676259</v>
      </c>
      <c r="I70" s="176">
        <f>H70+H71+H72+H73</f>
        <v>37654.26057289767</v>
      </c>
    </row>
    <row r="71" spans="1:9" s="2" customFormat="1" ht="12" x14ac:dyDescent="0.25">
      <c r="A71" s="10" t="s">
        <v>8</v>
      </c>
      <c r="B71" s="11">
        <v>220</v>
      </c>
      <c r="C71" s="12">
        <f>(C64*F2)+C64</f>
        <v>295.25475402173544</v>
      </c>
      <c r="D71" s="11">
        <f t="shared" ref="D71:D73" si="18">B71*C71</f>
        <v>64956.045884781794</v>
      </c>
      <c r="E71" s="174"/>
      <c r="F71" s="11">
        <v>18</v>
      </c>
      <c r="G71" s="11">
        <v>0.22</v>
      </c>
      <c r="H71" s="11">
        <f t="shared" ref="H71:H73" si="19">(C71*F71)+(C71*G71)</f>
        <v>5379.54161827602</v>
      </c>
      <c r="I71" s="177"/>
    </row>
    <row r="72" spans="1:9" s="2" customFormat="1" ht="12" x14ac:dyDescent="0.25">
      <c r="A72" s="10" t="s">
        <v>9</v>
      </c>
      <c r="B72" s="11">
        <v>220</v>
      </c>
      <c r="C72" s="12">
        <f>(C65*F2)+C65</f>
        <v>210.89625287266819</v>
      </c>
      <c r="D72" s="11">
        <f t="shared" si="18"/>
        <v>46397.175631987004</v>
      </c>
      <c r="E72" s="174"/>
      <c r="F72" s="11">
        <v>38</v>
      </c>
      <c r="G72" s="11">
        <v>0.22</v>
      </c>
      <c r="H72" s="11">
        <f t="shared" si="19"/>
        <v>8060.4547847933782</v>
      </c>
      <c r="I72" s="177"/>
    </row>
    <row r="73" spans="1:9" s="2" customFormat="1" ht="12" x14ac:dyDescent="0.25">
      <c r="A73" s="10" t="s">
        <v>10</v>
      </c>
      <c r="B73" s="11">
        <v>120</v>
      </c>
      <c r="C73" s="12">
        <f>(C66*F2)+C66</f>
        <v>1265.3775172360088</v>
      </c>
      <c r="D73" s="11">
        <f t="shared" si="18"/>
        <v>151845.30206832106</v>
      </c>
      <c r="E73" s="175"/>
      <c r="F73" s="11">
        <v>10</v>
      </c>
      <c r="G73" s="11">
        <v>0.22</v>
      </c>
      <c r="H73" s="11">
        <f t="shared" si="19"/>
        <v>12932.158226152011</v>
      </c>
      <c r="I73" s="177"/>
    </row>
    <row r="74" spans="1:9" s="2" customFormat="1" ht="12.6" thickBot="1" x14ac:dyDescent="0.3"/>
    <row r="75" spans="1:9" s="2" customFormat="1" thickBot="1" x14ac:dyDescent="0.35">
      <c r="A75" s="14" t="s">
        <v>28</v>
      </c>
      <c r="B75" s="56"/>
      <c r="C75" s="56"/>
      <c r="D75" s="56"/>
      <c r="E75" s="56"/>
      <c r="F75" s="56"/>
      <c r="G75" s="56"/>
      <c r="H75" s="56"/>
      <c r="I75" s="56"/>
    </row>
    <row r="76" spans="1:9" s="2" customFormat="1" ht="12.6" thickBot="1" x14ac:dyDescent="0.3">
      <c r="A76" s="4" t="s">
        <v>0</v>
      </c>
      <c r="B76" s="5" t="s">
        <v>6</v>
      </c>
      <c r="C76" s="5" t="s">
        <v>11</v>
      </c>
      <c r="D76" s="5" t="s">
        <v>14</v>
      </c>
      <c r="E76" s="5" t="s">
        <v>17</v>
      </c>
      <c r="F76" s="5" t="s">
        <v>12</v>
      </c>
      <c r="G76" s="5" t="s">
        <v>13</v>
      </c>
      <c r="H76" s="5" t="s">
        <v>15</v>
      </c>
      <c r="I76" s="6" t="s">
        <v>16</v>
      </c>
    </row>
    <row r="77" spans="1:9" s="2" customFormat="1" ht="12" x14ac:dyDescent="0.25">
      <c r="A77" s="10" t="s">
        <v>7</v>
      </c>
      <c r="B77" s="11">
        <v>440</v>
      </c>
      <c r="C77" s="12">
        <f>(C70*F2)+C70</f>
        <v>408.08424930861304</v>
      </c>
      <c r="D77" s="11">
        <f>B77*C77</f>
        <v>179557.06969578975</v>
      </c>
      <c r="E77" s="173">
        <f>D77+D78+D79+D80</f>
        <v>462495.48254976131</v>
      </c>
      <c r="F77" s="11">
        <v>29.5</v>
      </c>
      <c r="G77" s="11">
        <v>0.22</v>
      </c>
      <c r="H77" s="11">
        <f>(C77*F77)+(C77*G77)</f>
        <v>12128.263889451981</v>
      </c>
      <c r="I77" s="176">
        <f>H77+H78+H79+H80</f>
        <v>40478.330115864999</v>
      </c>
    </row>
    <row r="78" spans="1:9" s="2" customFormat="1" ht="12" x14ac:dyDescent="0.25">
      <c r="A78" s="10" t="s">
        <v>8</v>
      </c>
      <c r="B78" s="11">
        <v>220</v>
      </c>
      <c r="C78" s="12">
        <f>(C71*F2)+C71</f>
        <v>317.3988605733656</v>
      </c>
      <c r="D78" s="11">
        <f t="shared" ref="D78:D80" si="20">B78*C78</f>
        <v>69827.749326140431</v>
      </c>
      <c r="E78" s="174"/>
      <c r="F78" s="11">
        <v>18</v>
      </c>
      <c r="G78" s="11">
        <v>0.22</v>
      </c>
      <c r="H78" s="11">
        <f t="shared" ref="H78:H80" si="21">(C78*F78)+(C78*G78)</f>
        <v>5783.0072396467212</v>
      </c>
      <c r="I78" s="177"/>
    </row>
    <row r="79" spans="1:9" s="2" customFormat="1" ht="12" x14ac:dyDescent="0.25">
      <c r="A79" s="10" t="s">
        <v>9</v>
      </c>
      <c r="B79" s="11">
        <v>220</v>
      </c>
      <c r="C79" s="12">
        <f>(C72*F2)+C72</f>
        <v>226.71347183811829</v>
      </c>
      <c r="D79" s="11">
        <f t="shared" si="20"/>
        <v>49876.963804386025</v>
      </c>
      <c r="E79" s="174"/>
      <c r="F79" s="11">
        <v>38</v>
      </c>
      <c r="G79" s="11">
        <v>0.22</v>
      </c>
      <c r="H79" s="11">
        <f t="shared" si="21"/>
        <v>8664.9888936528823</v>
      </c>
      <c r="I79" s="177"/>
    </row>
    <row r="80" spans="1:9" s="2" customFormat="1" ht="12" x14ac:dyDescent="0.25">
      <c r="A80" s="10" t="s">
        <v>10</v>
      </c>
      <c r="B80" s="11">
        <v>120</v>
      </c>
      <c r="C80" s="12">
        <f>(C73*F2)+C73</f>
        <v>1360.2808310287094</v>
      </c>
      <c r="D80" s="11">
        <f t="shared" si="20"/>
        <v>163233.69972344511</v>
      </c>
      <c r="E80" s="175"/>
      <c r="F80" s="11">
        <v>10</v>
      </c>
      <c r="G80" s="11">
        <v>0.22</v>
      </c>
      <c r="H80" s="11">
        <f t="shared" si="21"/>
        <v>13902.070093113409</v>
      </c>
      <c r="I80" s="177"/>
    </row>
    <row r="81" spans="1:9" s="2" customFormat="1" ht="12.6" thickBot="1" x14ac:dyDescent="0.3"/>
    <row r="82" spans="1:9" s="2" customFormat="1" thickBot="1" x14ac:dyDescent="0.35">
      <c r="A82" s="14" t="s">
        <v>30</v>
      </c>
      <c r="B82" s="56"/>
      <c r="C82" s="56"/>
      <c r="D82" s="56"/>
      <c r="E82" s="56"/>
      <c r="F82" s="56"/>
      <c r="G82" s="56"/>
      <c r="H82" s="56"/>
      <c r="I82" s="56"/>
    </row>
    <row r="83" spans="1:9" s="2" customFormat="1" ht="12.6" thickBot="1" x14ac:dyDescent="0.3">
      <c r="A83" s="4" t="s">
        <v>0</v>
      </c>
      <c r="B83" s="5" t="s">
        <v>6</v>
      </c>
      <c r="C83" s="5" t="s">
        <v>11</v>
      </c>
      <c r="D83" s="5" t="s">
        <v>14</v>
      </c>
      <c r="E83" s="5" t="s">
        <v>17</v>
      </c>
      <c r="F83" s="5" t="s">
        <v>12</v>
      </c>
      <c r="G83" s="5" t="s">
        <v>13</v>
      </c>
      <c r="H83" s="5" t="s">
        <v>15</v>
      </c>
      <c r="I83" s="6" t="s">
        <v>16</v>
      </c>
    </row>
    <row r="84" spans="1:9" s="2" customFormat="1" ht="12" x14ac:dyDescent="0.25">
      <c r="A84" s="10" t="s">
        <v>7</v>
      </c>
      <c r="B84" s="11">
        <v>440</v>
      </c>
      <c r="C84" s="12">
        <f>(C77*F2)+C77</f>
        <v>438.69056800675901</v>
      </c>
      <c r="D84" s="11">
        <f>B84*C84</f>
        <v>193023.84992297395</v>
      </c>
      <c r="E84" s="173">
        <f>D84+D85+D86+D87</f>
        <v>497182.64374099346</v>
      </c>
      <c r="F84" s="11">
        <v>29.5</v>
      </c>
      <c r="G84" s="11">
        <v>0.22</v>
      </c>
      <c r="H84" s="11">
        <f>(C84*F84)+(C84*G84)</f>
        <v>13037.883681160878</v>
      </c>
      <c r="I84" s="176">
        <f>H84+H85+H86+H87</f>
        <v>43514.204874554867</v>
      </c>
    </row>
    <row r="85" spans="1:9" s="2" customFormat="1" ht="12" x14ac:dyDescent="0.25">
      <c r="A85" s="10" t="s">
        <v>8</v>
      </c>
      <c r="B85" s="11">
        <v>220</v>
      </c>
      <c r="C85" s="12">
        <f>(C78*F2)+C78</f>
        <v>341.20377511636804</v>
      </c>
      <c r="D85" s="11">
        <f t="shared" ref="D85:D87" si="22">B85*C85</f>
        <v>75064.830525600963</v>
      </c>
      <c r="E85" s="174"/>
      <c r="F85" s="11">
        <v>18</v>
      </c>
      <c r="G85" s="11">
        <v>0.22</v>
      </c>
      <c r="H85" s="11">
        <f t="shared" ref="H85:H87" si="23">(C85*F85)+(C85*G85)</f>
        <v>6216.7327826202254</v>
      </c>
      <c r="I85" s="177"/>
    </row>
    <row r="86" spans="1:9" s="2" customFormat="1" ht="12" x14ac:dyDescent="0.25">
      <c r="A86" s="10" t="s">
        <v>9</v>
      </c>
      <c r="B86" s="11">
        <v>220</v>
      </c>
      <c r="C86" s="12">
        <f>(C79*F2)+C79</f>
        <v>243.71698222597718</v>
      </c>
      <c r="D86" s="11">
        <f t="shared" si="22"/>
        <v>53617.736089714977</v>
      </c>
      <c r="E86" s="174"/>
      <c r="F86" s="11">
        <v>38</v>
      </c>
      <c r="G86" s="11">
        <v>0.22</v>
      </c>
      <c r="H86" s="11">
        <f t="shared" si="23"/>
        <v>9314.8630606768475</v>
      </c>
      <c r="I86" s="177"/>
    </row>
    <row r="87" spans="1:9" s="2" customFormat="1" ht="12" x14ac:dyDescent="0.25">
      <c r="A87" s="10" t="s">
        <v>10</v>
      </c>
      <c r="B87" s="11">
        <v>120</v>
      </c>
      <c r="C87" s="12">
        <f>(C80*F2)+C80</f>
        <v>1462.3018933558626</v>
      </c>
      <c r="D87" s="11">
        <f t="shared" si="22"/>
        <v>175476.22720270351</v>
      </c>
      <c r="E87" s="175"/>
      <c r="F87" s="11">
        <v>10</v>
      </c>
      <c r="G87" s="11">
        <v>0.22</v>
      </c>
      <c r="H87" s="11">
        <f t="shared" si="23"/>
        <v>14944.725350096915</v>
      </c>
      <c r="I87" s="177"/>
    </row>
    <row r="88" spans="1:9" s="2" customFormat="1" ht="12" x14ac:dyDescent="0.25"/>
    <row r="89" spans="1:9" s="2" customFormat="1" ht="12.6" thickBot="1" x14ac:dyDescent="0.3"/>
    <row r="90" spans="1:9" s="2" customFormat="1" ht="28.8" customHeight="1" x14ac:dyDescent="0.25">
      <c r="D90" s="186" t="s">
        <v>29</v>
      </c>
      <c r="E90" s="184">
        <f>E7+E14+E21+E28+E35+E42+E49+E56+E63+E70+E77+E84</f>
        <v>4134284.5602875729</v>
      </c>
      <c r="H90" s="186" t="s">
        <v>31</v>
      </c>
      <c r="I90" s="188">
        <f>I7+I14+I21+I28+I35+I42+I49+I56+I63+I70+I77+I84</f>
        <v>361839.06986861979</v>
      </c>
    </row>
    <row r="91" spans="1:9" s="2" customFormat="1" ht="12.6" thickBot="1" x14ac:dyDescent="0.3">
      <c r="D91" s="187"/>
      <c r="E91" s="185"/>
      <c r="H91" s="187"/>
      <c r="I91" s="189"/>
    </row>
    <row r="92" spans="1:9" s="2" customFormat="1" ht="12.6" thickBot="1" x14ac:dyDescent="0.3"/>
    <row r="93" spans="1:9" s="2" customFormat="1" thickBot="1" x14ac:dyDescent="0.3">
      <c r="C93" s="65" t="s">
        <v>36</v>
      </c>
      <c r="D93" s="66">
        <v>0.42499999999999999</v>
      </c>
    </row>
    <row r="94" spans="1:9" ht="15" thickBot="1" x14ac:dyDescent="0.35">
      <c r="C94" s="190" t="s">
        <v>32</v>
      </c>
      <c r="D94" s="191"/>
      <c r="E94" s="68">
        <f>(E90*D93)+E90</f>
        <v>5891355.4984097909</v>
      </c>
      <c r="H94" s="18" t="s">
        <v>37</v>
      </c>
      <c r="I94" s="67">
        <f>(I90*D93)+I90</f>
        <v>515620.67456278321</v>
      </c>
    </row>
    <row r="95" spans="1:9" ht="15" thickBot="1" x14ac:dyDescent="0.35">
      <c r="C95" s="190" t="s">
        <v>33</v>
      </c>
      <c r="D95" s="191"/>
      <c r="E95" s="68">
        <f>(E94*D93)+E94</f>
        <v>8395181.5852339529</v>
      </c>
      <c r="H95" s="18" t="s">
        <v>38</v>
      </c>
      <c r="I95" s="67">
        <f>(I94*D93)+I94</f>
        <v>734759.46125196607</v>
      </c>
    </row>
    <row r="96" spans="1:9" ht="15" thickBot="1" x14ac:dyDescent="0.35">
      <c r="C96" s="190" t="s">
        <v>34</v>
      </c>
      <c r="D96" s="191"/>
      <c r="E96" s="68">
        <f>(E95*D93)+E95</f>
        <v>11963133.758958383</v>
      </c>
      <c r="H96" s="18" t="s">
        <v>39</v>
      </c>
      <c r="I96" s="67">
        <f>(I95*D93)+I95</f>
        <v>1047032.2322840516</v>
      </c>
    </row>
    <row r="97" spans="3:9" ht="15" thickBot="1" x14ac:dyDescent="0.35">
      <c r="C97" s="190" t="s">
        <v>35</v>
      </c>
      <c r="D97" s="191"/>
      <c r="E97" s="68">
        <f>(E96*D93)+E96</f>
        <v>17047465.606515694</v>
      </c>
      <c r="H97" s="18" t="s">
        <v>40</v>
      </c>
      <c r="I97" s="67">
        <f>(I96*D93)+I96</f>
        <v>1492020.9310047736</v>
      </c>
    </row>
  </sheetData>
  <mergeCells count="35">
    <mergeCell ref="C94:D94"/>
    <mergeCell ref="C95:D95"/>
    <mergeCell ref="C96:D96"/>
    <mergeCell ref="C97:D97"/>
    <mergeCell ref="D90:D91"/>
    <mergeCell ref="E56:E59"/>
    <mergeCell ref="I56:I59"/>
    <mergeCell ref="E63:E66"/>
    <mergeCell ref="I63:I66"/>
    <mergeCell ref="E90:E91"/>
    <mergeCell ref="H90:H91"/>
    <mergeCell ref="I90:I91"/>
    <mergeCell ref="E70:E73"/>
    <mergeCell ref="I70:I73"/>
    <mergeCell ref="E77:E80"/>
    <mergeCell ref="I77:I80"/>
    <mergeCell ref="E84:E87"/>
    <mergeCell ref="I84:I87"/>
    <mergeCell ref="E35:E38"/>
    <mergeCell ref="I35:I38"/>
    <mergeCell ref="E42:E45"/>
    <mergeCell ref="I42:I45"/>
    <mergeCell ref="E49:E52"/>
    <mergeCell ref="I49:I52"/>
    <mergeCell ref="A2:A3"/>
    <mergeCell ref="E14:E17"/>
    <mergeCell ref="I14:I17"/>
    <mergeCell ref="E28:E31"/>
    <mergeCell ref="I28:I31"/>
    <mergeCell ref="E21:E24"/>
    <mergeCell ref="I21:I24"/>
    <mergeCell ref="E2:E3"/>
    <mergeCell ref="F2:F3"/>
    <mergeCell ref="E7:E10"/>
    <mergeCell ref="I7:I10"/>
  </mergeCells>
  <pageMargins left="0.511811024" right="0.511811024" top="0.78740157499999996" bottom="0.78740157499999996" header="0.31496062000000002" footer="0.31496062000000002"/>
  <ignoredErrors>
    <ignoredError sqref="C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39B13-CCBD-47E0-916B-887E23C0BA5C}">
  <dimension ref="A1:G22"/>
  <sheetViews>
    <sheetView workbookViewId="0">
      <selection activeCell="E18" sqref="E18"/>
    </sheetView>
  </sheetViews>
  <sheetFormatPr defaultRowHeight="14.4" x14ac:dyDescent="0.3"/>
  <cols>
    <col min="1" max="1" width="22" bestFit="1" customWidth="1"/>
    <col min="2" max="2" width="13.33203125" customWidth="1"/>
    <col min="3" max="3" width="13.21875" bestFit="1" customWidth="1"/>
    <col min="4" max="4" width="14.88671875" bestFit="1" customWidth="1"/>
    <col min="5" max="5" width="9.88671875" bestFit="1" customWidth="1"/>
    <col min="6" max="6" width="14.88671875" bestFit="1" customWidth="1"/>
    <col min="7" max="7" width="11.6640625" bestFit="1" customWidth="1"/>
  </cols>
  <sheetData>
    <row r="1" spans="1:7" ht="15" thickBot="1" x14ac:dyDescent="0.35"/>
    <row r="2" spans="1:7" x14ac:dyDescent="0.3">
      <c r="A2" s="192" t="s">
        <v>142</v>
      </c>
      <c r="B2" s="193"/>
      <c r="C2" s="193"/>
      <c r="D2" s="196">
        <f>G12+C21</f>
        <v>36866.34276</v>
      </c>
      <c r="E2" s="197"/>
    </row>
    <row r="3" spans="1:7" ht="15" thickBot="1" x14ac:dyDescent="0.35">
      <c r="A3" s="194"/>
      <c r="B3" s="195"/>
      <c r="C3" s="195"/>
      <c r="D3" s="198"/>
      <c r="E3" s="199"/>
    </row>
    <row r="5" spans="1:7" ht="15" thickBot="1" x14ac:dyDescent="0.35"/>
    <row r="6" spans="1:7" ht="42" thickBot="1" x14ac:dyDescent="0.35">
      <c r="A6" s="99" t="s">
        <v>121</v>
      </c>
      <c r="B6" s="100" t="s">
        <v>2</v>
      </c>
      <c r="C6" s="101" t="s">
        <v>127</v>
      </c>
      <c r="D6" s="101" t="s">
        <v>129</v>
      </c>
      <c r="E6" s="101" t="s">
        <v>134</v>
      </c>
      <c r="F6" s="101" t="s">
        <v>128</v>
      </c>
      <c r="G6" s="102" t="s">
        <v>130</v>
      </c>
    </row>
    <row r="7" spans="1:7" x14ac:dyDescent="0.3">
      <c r="A7" s="89" t="s">
        <v>122</v>
      </c>
      <c r="B7" s="90">
        <v>1</v>
      </c>
      <c r="C7" s="8">
        <v>3953.6</v>
      </c>
      <c r="D7" s="91" t="s">
        <v>131</v>
      </c>
      <c r="E7" s="91">
        <v>0.4</v>
      </c>
      <c r="F7" s="8">
        <v>564.79999999999995</v>
      </c>
      <c r="G7" s="83">
        <f>(C7+F7)*B7</f>
        <v>4518.3999999999996</v>
      </c>
    </row>
    <row r="8" spans="1:7" x14ac:dyDescent="0.3">
      <c r="A8" s="92" t="s">
        <v>123</v>
      </c>
      <c r="B8" s="24">
        <v>3</v>
      </c>
      <c r="C8" s="11">
        <v>2824</v>
      </c>
      <c r="D8" s="57" t="s">
        <v>131</v>
      </c>
      <c r="E8" s="57">
        <v>0.4</v>
      </c>
      <c r="F8" s="11">
        <v>564.79999999999995</v>
      </c>
      <c r="G8" s="37">
        <f t="shared" ref="G8:G11" si="0">(C8+F8)*B8</f>
        <v>10166.400000000001</v>
      </c>
    </row>
    <row r="9" spans="1:7" x14ac:dyDescent="0.3">
      <c r="A9" s="92" t="s">
        <v>124</v>
      </c>
      <c r="B9" s="24">
        <v>2</v>
      </c>
      <c r="C9" s="11">
        <v>2046.8</v>
      </c>
      <c r="D9" s="57" t="s">
        <v>132</v>
      </c>
      <c r="E9" s="57">
        <v>0.2</v>
      </c>
      <c r="F9" s="11">
        <v>282.39999999999998</v>
      </c>
      <c r="G9" s="37">
        <f t="shared" si="0"/>
        <v>4658.3999999999996</v>
      </c>
    </row>
    <row r="10" spans="1:7" x14ac:dyDescent="0.3">
      <c r="A10" s="92" t="s">
        <v>125</v>
      </c>
      <c r="B10" s="24">
        <v>2</v>
      </c>
      <c r="C10" s="11">
        <v>1584.7</v>
      </c>
      <c r="D10" s="57" t="s">
        <v>133</v>
      </c>
      <c r="E10" s="57">
        <v>0.1</v>
      </c>
      <c r="F10" s="11">
        <v>141.19999999999999</v>
      </c>
      <c r="G10" s="37">
        <f t="shared" si="0"/>
        <v>3451.8</v>
      </c>
    </row>
    <row r="11" spans="1:7" ht="15" thickBot="1" x14ac:dyDescent="0.35">
      <c r="A11" s="93" t="s">
        <v>126</v>
      </c>
      <c r="B11" s="94">
        <v>1</v>
      </c>
      <c r="C11" s="39">
        <v>1412</v>
      </c>
      <c r="D11" s="95" t="s">
        <v>132</v>
      </c>
      <c r="E11" s="95">
        <v>0.2</v>
      </c>
      <c r="F11" s="39">
        <v>282.39999999999998</v>
      </c>
      <c r="G11" s="40">
        <f t="shared" si="0"/>
        <v>1694.4</v>
      </c>
    </row>
    <row r="12" spans="1:7" ht="15" thickBot="1" x14ac:dyDescent="0.35">
      <c r="G12" s="71">
        <f>SUM(G7:G11)</f>
        <v>24489.4</v>
      </c>
    </row>
    <row r="13" spans="1:7" ht="15" thickBot="1" x14ac:dyDescent="0.35"/>
    <row r="14" spans="1:7" ht="15" thickBot="1" x14ac:dyDescent="0.35">
      <c r="A14" s="99" t="s">
        <v>135</v>
      </c>
      <c r="B14" s="100" t="s">
        <v>76</v>
      </c>
      <c r="C14" s="99" t="s">
        <v>130</v>
      </c>
      <c r="D14" s="1"/>
      <c r="E14" s="1"/>
    </row>
    <row r="15" spans="1:7" x14ac:dyDescent="0.3">
      <c r="A15" s="89" t="s">
        <v>136</v>
      </c>
      <c r="B15" s="96">
        <v>0.2</v>
      </c>
      <c r="C15" s="83">
        <f>G12*B15</f>
        <v>4897.88</v>
      </c>
      <c r="D15" s="1"/>
      <c r="E15" s="1"/>
    </row>
    <row r="16" spans="1:7" x14ac:dyDescent="0.3">
      <c r="A16" s="92" t="s">
        <v>137</v>
      </c>
      <c r="B16" s="97">
        <v>0.08</v>
      </c>
      <c r="C16" s="37">
        <f>G12*B16</f>
        <v>1959.152</v>
      </c>
      <c r="D16" s="1"/>
      <c r="E16" s="1"/>
    </row>
    <row r="17" spans="1:5" x14ac:dyDescent="0.3">
      <c r="A17" s="92" t="s">
        <v>138</v>
      </c>
      <c r="B17" s="97">
        <v>0.1111</v>
      </c>
      <c r="C17" s="37">
        <f>G12*B17</f>
        <v>2720.7723400000004</v>
      </c>
      <c r="D17" s="1"/>
      <c r="E17" s="1"/>
    </row>
    <row r="18" spans="1:5" x14ac:dyDescent="0.3">
      <c r="A18" s="92" t="s">
        <v>139</v>
      </c>
      <c r="B18" s="97">
        <v>8.3299999999999999E-2</v>
      </c>
      <c r="C18" s="37">
        <f>G12*B18</f>
        <v>2039.96702</v>
      </c>
      <c r="D18" s="1"/>
      <c r="E18" s="1"/>
    </row>
    <row r="19" spans="1:5" x14ac:dyDescent="0.3">
      <c r="A19" s="92" t="s">
        <v>140</v>
      </c>
      <c r="B19" s="97">
        <v>0.01</v>
      </c>
      <c r="C19" s="37">
        <f>G12*B19</f>
        <v>244.89400000000001</v>
      </c>
      <c r="D19" s="1"/>
      <c r="E19" s="1"/>
    </row>
    <row r="20" spans="1:5" ht="15" thickBot="1" x14ac:dyDescent="0.35">
      <c r="A20" s="93" t="s">
        <v>141</v>
      </c>
      <c r="B20" s="98">
        <v>2.1000000000000001E-2</v>
      </c>
      <c r="C20" s="40">
        <f>G12*B20</f>
        <v>514.27740000000006</v>
      </c>
      <c r="D20" s="1"/>
      <c r="E20" s="1"/>
    </row>
    <row r="21" spans="1:5" ht="15" thickBot="1" x14ac:dyDescent="0.35">
      <c r="C21" s="71">
        <f>SUM(C15:C20)</f>
        <v>12376.942760000002</v>
      </c>
    </row>
    <row r="22" spans="1:5" ht="15" thickBot="1" x14ac:dyDescent="0.35">
      <c r="C22" s="72">
        <f>C21/G12*1</f>
        <v>0.50540000000000007</v>
      </c>
    </row>
  </sheetData>
  <mergeCells count="2">
    <mergeCell ref="A2:C3"/>
    <mergeCell ref="D2:E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D0EEF-D3A0-43BE-BAD6-EFC8A1C33054}">
  <dimension ref="A1:M54"/>
  <sheetViews>
    <sheetView zoomScaleNormal="100" workbookViewId="0">
      <selection activeCell="G27" sqref="G27"/>
    </sheetView>
  </sheetViews>
  <sheetFormatPr defaultRowHeight="14.4" x14ac:dyDescent="0.3"/>
  <cols>
    <col min="1" max="1" width="47.88671875" bestFit="1" customWidth="1"/>
    <col min="2" max="2" width="14.33203125" bestFit="1" customWidth="1"/>
    <col min="3" max="3" width="12.5546875" bestFit="1" customWidth="1"/>
    <col min="4" max="13" width="12.77734375" customWidth="1"/>
  </cols>
  <sheetData>
    <row r="1" spans="1:13" ht="15" thickBot="1" x14ac:dyDescent="0.35"/>
    <row r="2" spans="1:13" x14ac:dyDescent="0.3">
      <c r="A2" s="182" t="s">
        <v>3</v>
      </c>
      <c r="B2" s="2"/>
      <c r="C2" s="2"/>
      <c r="D2" s="204" t="s">
        <v>18</v>
      </c>
      <c r="E2" s="205"/>
      <c r="F2" s="200">
        <v>2.5000000000000001E-3</v>
      </c>
    </row>
    <row r="3" spans="1:13" ht="15" thickBot="1" x14ac:dyDescent="0.35">
      <c r="A3" s="183"/>
      <c r="B3" s="2"/>
      <c r="C3" s="2"/>
      <c r="D3" s="206"/>
      <c r="E3" s="207"/>
      <c r="F3" s="201"/>
    </row>
    <row r="4" spans="1:13" ht="15" thickBot="1" x14ac:dyDescent="0.35"/>
    <row r="5" spans="1:13" ht="15" thickBot="1" x14ac:dyDescent="0.35">
      <c r="A5" s="202" t="s">
        <v>4</v>
      </c>
      <c r="B5" s="203"/>
      <c r="C5" s="13" t="s">
        <v>19</v>
      </c>
      <c r="D5" s="13" t="s">
        <v>20</v>
      </c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3" t="s">
        <v>28</v>
      </c>
      <c r="M5" s="13" t="s">
        <v>30</v>
      </c>
    </row>
    <row r="6" spans="1:13" ht="15" thickBot="1" x14ac:dyDescent="0.35">
      <c r="A6" s="4" t="s">
        <v>41</v>
      </c>
      <c r="B6" s="6" t="s">
        <v>1</v>
      </c>
      <c r="C6" s="19" t="s">
        <v>1</v>
      </c>
      <c r="D6" s="19" t="s">
        <v>1</v>
      </c>
      <c r="E6" s="19" t="s">
        <v>1</v>
      </c>
      <c r="F6" s="19" t="s">
        <v>1</v>
      </c>
      <c r="G6" s="19" t="s">
        <v>1</v>
      </c>
      <c r="H6" s="19" t="s">
        <v>1</v>
      </c>
      <c r="I6" s="19" t="s">
        <v>1</v>
      </c>
      <c r="J6" s="19" t="s">
        <v>1</v>
      </c>
      <c r="K6" s="19" t="s">
        <v>1</v>
      </c>
      <c r="L6" s="19" t="s">
        <v>1</v>
      </c>
      <c r="M6" s="19" t="s">
        <v>1</v>
      </c>
    </row>
    <row r="7" spans="1:13" x14ac:dyDescent="0.3">
      <c r="A7" s="29" t="s">
        <v>42</v>
      </c>
      <c r="B7" s="83">
        <v>4000</v>
      </c>
      <c r="C7" s="84">
        <f>B7*(1+0.0025)</f>
        <v>4010</v>
      </c>
      <c r="D7" s="84">
        <f t="shared" ref="D7:M7" si="0">C7*(1+0.0025)</f>
        <v>4020.0249999999996</v>
      </c>
      <c r="E7" s="84">
        <f t="shared" si="0"/>
        <v>4030.0750624999996</v>
      </c>
      <c r="F7" s="84">
        <f t="shared" si="0"/>
        <v>4040.1502501562495</v>
      </c>
      <c r="G7" s="84">
        <f t="shared" si="0"/>
        <v>4050.2506257816399</v>
      </c>
      <c r="H7" s="84">
        <f t="shared" si="0"/>
        <v>4060.3762523460937</v>
      </c>
      <c r="I7" s="84">
        <f t="shared" si="0"/>
        <v>4070.5271929769588</v>
      </c>
      <c r="J7" s="84">
        <f t="shared" si="0"/>
        <v>4080.7035109594008</v>
      </c>
      <c r="K7" s="84">
        <f t="shared" si="0"/>
        <v>4090.9052697367993</v>
      </c>
      <c r="L7" s="84">
        <f t="shared" si="0"/>
        <v>4101.1325329111414</v>
      </c>
      <c r="M7" s="84">
        <f t="shared" si="0"/>
        <v>4111.3853642434187</v>
      </c>
    </row>
    <row r="8" spans="1:13" x14ac:dyDescent="0.3">
      <c r="A8" s="31" t="s">
        <v>43</v>
      </c>
      <c r="B8" s="37">
        <v>3300</v>
      </c>
      <c r="C8" s="84">
        <f t="shared" ref="C8:M8" si="1">B8*(1+0.0025)</f>
        <v>3308.25</v>
      </c>
      <c r="D8" s="84">
        <f t="shared" si="1"/>
        <v>3316.5206249999997</v>
      </c>
      <c r="E8" s="84">
        <f t="shared" si="1"/>
        <v>3324.8119265624996</v>
      </c>
      <c r="F8" s="84">
        <f t="shared" si="1"/>
        <v>3333.1239563789059</v>
      </c>
      <c r="G8" s="84">
        <f t="shared" si="1"/>
        <v>3341.4567662698528</v>
      </c>
      <c r="H8" s="84">
        <f t="shared" si="1"/>
        <v>3349.8104081855272</v>
      </c>
      <c r="I8" s="84">
        <f t="shared" si="1"/>
        <v>3358.1849342059909</v>
      </c>
      <c r="J8" s="84">
        <f t="shared" si="1"/>
        <v>3366.5803965415057</v>
      </c>
      <c r="K8" s="84">
        <f t="shared" si="1"/>
        <v>3374.9968475328592</v>
      </c>
      <c r="L8" s="84">
        <f t="shared" si="1"/>
        <v>3383.4343396516911</v>
      </c>
      <c r="M8" s="84">
        <f t="shared" si="1"/>
        <v>3391.8929255008202</v>
      </c>
    </row>
    <row r="9" spans="1:13" x14ac:dyDescent="0.3">
      <c r="A9" s="31" t="s">
        <v>44</v>
      </c>
      <c r="B9" s="37">
        <v>100</v>
      </c>
      <c r="C9" s="84">
        <f t="shared" ref="C9:M9" si="2">B9*(1+0.0025)</f>
        <v>100.25</v>
      </c>
      <c r="D9" s="84">
        <f t="shared" si="2"/>
        <v>100.500625</v>
      </c>
      <c r="E9" s="84">
        <f t="shared" si="2"/>
        <v>100.75187656249999</v>
      </c>
      <c r="F9" s="84">
        <f t="shared" si="2"/>
        <v>101.00375625390623</v>
      </c>
      <c r="G9" s="84">
        <f t="shared" si="2"/>
        <v>101.25626564454099</v>
      </c>
      <c r="H9" s="84">
        <f t="shared" si="2"/>
        <v>101.50940630865233</v>
      </c>
      <c r="I9" s="84">
        <f t="shared" si="2"/>
        <v>101.76317982442396</v>
      </c>
      <c r="J9" s="84">
        <f t="shared" si="2"/>
        <v>102.01758777398501</v>
      </c>
      <c r="K9" s="84">
        <f t="shared" si="2"/>
        <v>102.27263174341996</v>
      </c>
      <c r="L9" s="84">
        <f t="shared" si="2"/>
        <v>102.52831332277852</v>
      </c>
      <c r="M9" s="84">
        <f t="shared" si="2"/>
        <v>102.78463410608546</v>
      </c>
    </row>
    <row r="10" spans="1:13" x14ac:dyDescent="0.3">
      <c r="A10" s="31" t="s">
        <v>45</v>
      </c>
      <c r="B10" s="37">
        <v>260</v>
      </c>
      <c r="C10" s="84">
        <f t="shared" ref="C10:M10" si="3">B10*(1+0.0025)</f>
        <v>260.64999999999998</v>
      </c>
      <c r="D10" s="84">
        <f t="shared" si="3"/>
        <v>261.30162499999994</v>
      </c>
      <c r="E10" s="84">
        <f t="shared" si="3"/>
        <v>261.95487906249991</v>
      </c>
      <c r="F10" s="84">
        <f t="shared" si="3"/>
        <v>262.60976626015616</v>
      </c>
      <c r="G10" s="84">
        <f t="shared" si="3"/>
        <v>263.26629067580654</v>
      </c>
      <c r="H10" s="84">
        <f t="shared" si="3"/>
        <v>263.92445640249605</v>
      </c>
      <c r="I10" s="84">
        <f t="shared" si="3"/>
        <v>264.58426754350228</v>
      </c>
      <c r="J10" s="84">
        <f t="shared" si="3"/>
        <v>265.24572821236103</v>
      </c>
      <c r="K10" s="84">
        <f t="shared" si="3"/>
        <v>265.90884253289192</v>
      </c>
      <c r="L10" s="84">
        <f t="shared" si="3"/>
        <v>266.57361463922416</v>
      </c>
      <c r="M10" s="84">
        <f t="shared" si="3"/>
        <v>267.24004867582221</v>
      </c>
    </row>
    <row r="11" spans="1:13" x14ac:dyDescent="0.3">
      <c r="A11" s="31" t="s">
        <v>46</v>
      </c>
      <c r="B11" s="37">
        <v>350</v>
      </c>
      <c r="C11" s="84">
        <f t="shared" ref="C11:M11" si="4">B11*(1+0.0025)</f>
        <v>350.875</v>
      </c>
      <c r="D11" s="84">
        <f t="shared" si="4"/>
        <v>351.75218749999999</v>
      </c>
      <c r="E11" s="84">
        <f t="shared" si="4"/>
        <v>352.63156796874995</v>
      </c>
      <c r="F11" s="84">
        <f t="shared" si="4"/>
        <v>353.51314688867183</v>
      </c>
      <c r="G11" s="84">
        <f t="shared" si="4"/>
        <v>354.3969297558935</v>
      </c>
      <c r="H11" s="84">
        <f t="shared" si="4"/>
        <v>355.28292208028319</v>
      </c>
      <c r="I11" s="84">
        <f t="shared" si="4"/>
        <v>356.17112938548388</v>
      </c>
      <c r="J11" s="84">
        <f t="shared" si="4"/>
        <v>357.06155720894759</v>
      </c>
      <c r="K11" s="84">
        <f t="shared" si="4"/>
        <v>357.95421110196992</v>
      </c>
      <c r="L11" s="84">
        <f t="shared" si="4"/>
        <v>358.84909662972484</v>
      </c>
      <c r="M11" s="84">
        <f t="shared" si="4"/>
        <v>359.74621937129911</v>
      </c>
    </row>
    <row r="12" spans="1:13" x14ac:dyDescent="0.3">
      <c r="A12" s="31" t="s">
        <v>47</v>
      </c>
      <c r="B12" s="37">
        <v>800</v>
      </c>
      <c r="C12" s="84">
        <f t="shared" ref="C12:M12" si="5">B12*(1+0.0025)</f>
        <v>802</v>
      </c>
      <c r="D12" s="84">
        <f t="shared" si="5"/>
        <v>804.005</v>
      </c>
      <c r="E12" s="84">
        <f t="shared" si="5"/>
        <v>806.0150124999999</v>
      </c>
      <c r="F12" s="84">
        <f t="shared" si="5"/>
        <v>808.03005003124986</v>
      </c>
      <c r="G12" s="84">
        <f t="shared" si="5"/>
        <v>810.05012515632791</v>
      </c>
      <c r="H12" s="84">
        <f t="shared" si="5"/>
        <v>812.07525046921864</v>
      </c>
      <c r="I12" s="84">
        <f t="shared" si="5"/>
        <v>814.10543859539166</v>
      </c>
      <c r="J12" s="84">
        <f t="shared" si="5"/>
        <v>816.14070219188011</v>
      </c>
      <c r="K12" s="84">
        <f t="shared" si="5"/>
        <v>818.18105394735971</v>
      </c>
      <c r="L12" s="84">
        <f t="shared" si="5"/>
        <v>820.22650658222813</v>
      </c>
      <c r="M12" s="84">
        <f t="shared" si="5"/>
        <v>822.2770728486837</v>
      </c>
    </row>
    <row r="13" spans="1:13" x14ac:dyDescent="0.3">
      <c r="A13" s="31" t="s">
        <v>48</v>
      </c>
      <c r="B13" s="37">
        <v>300</v>
      </c>
      <c r="C13" s="85">
        <f t="shared" ref="C13:M13" si="6">B13*(1+0.0025)</f>
        <v>300.75</v>
      </c>
      <c r="D13" s="85">
        <f t="shared" si="6"/>
        <v>301.50187499999998</v>
      </c>
      <c r="E13" s="85">
        <f t="shared" si="6"/>
        <v>302.25562968749995</v>
      </c>
      <c r="F13" s="85">
        <f t="shared" si="6"/>
        <v>303.01126876171867</v>
      </c>
      <c r="G13" s="85">
        <f t="shared" si="6"/>
        <v>303.76879693362292</v>
      </c>
      <c r="H13" s="85">
        <f t="shared" si="6"/>
        <v>304.52821892595699</v>
      </c>
      <c r="I13" s="85">
        <f t="shared" si="6"/>
        <v>305.28953947327187</v>
      </c>
      <c r="J13" s="85">
        <f t="shared" si="6"/>
        <v>306.05276332195501</v>
      </c>
      <c r="K13" s="85">
        <f t="shared" si="6"/>
        <v>306.81789523025986</v>
      </c>
      <c r="L13" s="85">
        <f t="shared" si="6"/>
        <v>307.5849399683355</v>
      </c>
      <c r="M13" s="85">
        <f t="shared" si="6"/>
        <v>308.3539023182563</v>
      </c>
    </row>
    <row r="14" spans="1:13" x14ac:dyDescent="0.3">
      <c r="A14" s="31" t="s">
        <v>49</v>
      </c>
      <c r="B14" s="37">
        <v>300</v>
      </c>
      <c r="C14" s="85">
        <f t="shared" ref="C14:M14" si="7">B14*(1+0.0025)</f>
        <v>300.75</v>
      </c>
      <c r="D14" s="85">
        <f t="shared" si="7"/>
        <v>301.50187499999998</v>
      </c>
      <c r="E14" s="85">
        <f t="shared" si="7"/>
        <v>302.25562968749995</v>
      </c>
      <c r="F14" s="85">
        <f t="shared" si="7"/>
        <v>303.01126876171867</v>
      </c>
      <c r="G14" s="85">
        <f t="shared" si="7"/>
        <v>303.76879693362292</v>
      </c>
      <c r="H14" s="85">
        <f t="shared" si="7"/>
        <v>304.52821892595699</v>
      </c>
      <c r="I14" s="85">
        <f t="shared" si="7"/>
        <v>305.28953947327187</v>
      </c>
      <c r="J14" s="85">
        <f t="shared" si="7"/>
        <v>306.05276332195501</v>
      </c>
      <c r="K14" s="85">
        <f t="shared" si="7"/>
        <v>306.81789523025986</v>
      </c>
      <c r="L14" s="85">
        <f t="shared" si="7"/>
        <v>307.5849399683355</v>
      </c>
      <c r="M14" s="85">
        <f t="shared" si="7"/>
        <v>308.3539023182563</v>
      </c>
    </row>
    <row r="15" spans="1:13" x14ac:dyDescent="0.3">
      <c r="A15" s="31" t="s">
        <v>50</v>
      </c>
      <c r="B15" s="37">
        <v>400</v>
      </c>
      <c r="C15" s="85">
        <f t="shared" ref="C15:M15" si="8">B15*(1+0.0025)</f>
        <v>401</v>
      </c>
      <c r="D15" s="85">
        <f t="shared" si="8"/>
        <v>402.0025</v>
      </c>
      <c r="E15" s="85">
        <f t="shared" si="8"/>
        <v>403.00750624999995</v>
      </c>
      <c r="F15" s="85">
        <f t="shared" si="8"/>
        <v>404.01502501562493</v>
      </c>
      <c r="G15" s="85">
        <f t="shared" si="8"/>
        <v>405.02506257816395</v>
      </c>
      <c r="H15" s="85">
        <f t="shared" si="8"/>
        <v>406.03762523460932</v>
      </c>
      <c r="I15" s="85">
        <f t="shared" si="8"/>
        <v>407.05271929769583</v>
      </c>
      <c r="J15" s="85">
        <f t="shared" si="8"/>
        <v>408.07035109594005</v>
      </c>
      <c r="K15" s="85">
        <f t="shared" si="8"/>
        <v>409.09052697367986</v>
      </c>
      <c r="L15" s="85">
        <f t="shared" si="8"/>
        <v>410.11325329111406</v>
      </c>
      <c r="M15" s="85">
        <f t="shared" si="8"/>
        <v>411.13853642434185</v>
      </c>
    </row>
    <row r="16" spans="1:13" x14ac:dyDescent="0.3">
      <c r="A16" s="31" t="s">
        <v>51</v>
      </c>
      <c r="B16" s="37">
        <v>1094.3399999999999</v>
      </c>
      <c r="C16" s="85">
        <f t="shared" ref="C16:M16" si="9">B16*(1+0.0025)</f>
        <v>1097.0758499999999</v>
      </c>
      <c r="D16" s="85">
        <f t="shared" si="9"/>
        <v>1099.8185396249999</v>
      </c>
      <c r="E16" s="85">
        <f t="shared" si="9"/>
        <v>1102.5680859740623</v>
      </c>
      <c r="F16" s="85">
        <f t="shared" si="9"/>
        <v>1105.3245061889975</v>
      </c>
      <c r="G16" s="85">
        <f t="shared" si="9"/>
        <v>1108.0878174544698</v>
      </c>
      <c r="H16" s="85">
        <f t="shared" si="9"/>
        <v>1110.8580369981059</v>
      </c>
      <c r="I16" s="85">
        <f t="shared" si="9"/>
        <v>1113.6351820906011</v>
      </c>
      <c r="J16" s="85">
        <f t="shared" si="9"/>
        <v>1116.4192700458275</v>
      </c>
      <c r="K16" s="85">
        <f t="shared" si="9"/>
        <v>1119.2103182209421</v>
      </c>
      <c r="L16" s="85">
        <f t="shared" si="9"/>
        <v>1122.0083440164944</v>
      </c>
      <c r="M16" s="85">
        <f t="shared" si="9"/>
        <v>1124.8133648765356</v>
      </c>
    </row>
    <row r="17" spans="1:13" x14ac:dyDescent="0.3">
      <c r="A17" s="31" t="s">
        <v>52</v>
      </c>
      <c r="B17" s="37">
        <v>6000</v>
      </c>
      <c r="C17" s="85">
        <f t="shared" ref="C17:M17" si="10">B17*(1+0.0025)</f>
        <v>6015</v>
      </c>
      <c r="D17" s="85">
        <f t="shared" si="10"/>
        <v>6030.0374999999995</v>
      </c>
      <c r="E17" s="85">
        <f t="shared" si="10"/>
        <v>6045.1125937499992</v>
      </c>
      <c r="F17" s="85">
        <f t="shared" si="10"/>
        <v>6060.225375234374</v>
      </c>
      <c r="G17" s="85">
        <f t="shared" si="10"/>
        <v>6075.3759386724596</v>
      </c>
      <c r="H17" s="85">
        <f t="shared" si="10"/>
        <v>6090.5643785191405</v>
      </c>
      <c r="I17" s="85">
        <f t="shared" si="10"/>
        <v>6105.7907894654381</v>
      </c>
      <c r="J17" s="85">
        <f t="shared" si="10"/>
        <v>6121.0552664391016</v>
      </c>
      <c r="K17" s="85">
        <f t="shared" si="10"/>
        <v>6136.3579046051991</v>
      </c>
      <c r="L17" s="85">
        <f t="shared" si="10"/>
        <v>6151.6987993667117</v>
      </c>
      <c r="M17" s="85">
        <f t="shared" si="10"/>
        <v>6167.0780463651281</v>
      </c>
    </row>
    <row r="18" spans="1:13" x14ac:dyDescent="0.3">
      <c r="A18" s="31" t="s">
        <v>53</v>
      </c>
      <c r="B18" s="37">
        <v>36866.339999999997</v>
      </c>
      <c r="C18" s="85">
        <f t="shared" ref="C18:M18" si="11">B18*(1+0.0025)</f>
        <v>36958.505849999994</v>
      </c>
      <c r="D18" s="85">
        <f t="shared" si="11"/>
        <v>37050.902114624994</v>
      </c>
      <c r="E18" s="85">
        <f t="shared" si="11"/>
        <v>37143.529369911557</v>
      </c>
      <c r="F18" s="85">
        <f t="shared" si="11"/>
        <v>37236.388193336337</v>
      </c>
      <c r="G18" s="85">
        <f t="shared" si="11"/>
        <v>37329.479163819677</v>
      </c>
      <c r="H18" s="85">
        <f t="shared" si="11"/>
        <v>37422.802861729222</v>
      </c>
      <c r="I18" s="85">
        <f t="shared" si="11"/>
        <v>37516.359868883541</v>
      </c>
      <c r="J18" s="85">
        <f t="shared" si="11"/>
        <v>37610.150768555744</v>
      </c>
      <c r="K18" s="85">
        <f t="shared" si="11"/>
        <v>37704.176145477133</v>
      </c>
      <c r="L18" s="85">
        <f t="shared" si="11"/>
        <v>37798.436585840827</v>
      </c>
      <c r="M18" s="85">
        <f t="shared" si="11"/>
        <v>37892.932677305427</v>
      </c>
    </row>
    <row r="19" spans="1:13" x14ac:dyDescent="0.3">
      <c r="A19" s="31" t="s">
        <v>54</v>
      </c>
      <c r="B19" s="37">
        <v>600</v>
      </c>
      <c r="C19" s="85">
        <f t="shared" ref="C19:M19" si="12">B19*(1+0.0025)</f>
        <v>601.5</v>
      </c>
      <c r="D19" s="85">
        <f t="shared" si="12"/>
        <v>603.00374999999997</v>
      </c>
      <c r="E19" s="85">
        <f t="shared" si="12"/>
        <v>604.5112593749999</v>
      </c>
      <c r="F19" s="85">
        <f t="shared" si="12"/>
        <v>606.02253752343734</v>
      </c>
      <c r="G19" s="85">
        <f t="shared" si="12"/>
        <v>607.53759386724585</v>
      </c>
      <c r="H19" s="85">
        <f t="shared" si="12"/>
        <v>609.05643785191398</v>
      </c>
      <c r="I19" s="85">
        <f t="shared" si="12"/>
        <v>610.57907894654375</v>
      </c>
      <c r="J19" s="85">
        <f t="shared" si="12"/>
        <v>612.10552664391003</v>
      </c>
      <c r="K19" s="85">
        <f t="shared" si="12"/>
        <v>613.63579046051973</v>
      </c>
      <c r="L19" s="85">
        <f t="shared" si="12"/>
        <v>615.16987993667101</v>
      </c>
      <c r="M19" s="85">
        <f t="shared" si="12"/>
        <v>616.70780463651261</v>
      </c>
    </row>
    <row r="20" spans="1:13" x14ac:dyDescent="0.3">
      <c r="A20" s="31" t="s">
        <v>55</v>
      </c>
      <c r="B20" s="37">
        <v>600</v>
      </c>
      <c r="C20" s="85">
        <f t="shared" ref="C20:M20" si="13">B20*(1+0.0025)</f>
        <v>601.5</v>
      </c>
      <c r="D20" s="85">
        <f t="shared" si="13"/>
        <v>603.00374999999997</v>
      </c>
      <c r="E20" s="85">
        <f t="shared" si="13"/>
        <v>604.5112593749999</v>
      </c>
      <c r="F20" s="85">
        <f t="shared" si="13"/>
        <v>606.02253752343734</v>
      </c>
      <c r="G20" s="85">
        <f t="shared" si="13"/>
        <v>607.53759386724585</v>
      </c>
      <c r="H20" s="85">
        <f t="shared" si="13"/>
        <v>609.05643785191398</v>
      </c>
      <c r="I20" s="85">
        <f t="shared" si="13"/>
        <v>610.57907894654375</v>
      </c>
      <c r="J20" s="85">
        <f t="shared" si="13"/>
        <v>612.10552664391003</v>
      </c>
      <c r="K20" s="85">
        <f t="shared" si="13"/>
        <v>613.63579046051973</v>
      </c>
      <c r="L20" s="85">
        <f t="shared" si="13"/>
        <v>615.16987993667101</v>
      </c>
      <c r="M20" s="85">
        <f t="shared" si="13"/>
        <v>616.70780463651261</v>
      </c>
    </row>
    <row r="21" spans="1:13" x14ac:dyDescent="0.3">
      <c r="A21" s="31" t="s">
        <v>56</v>
      </c>
      <c r="B21" s="37">
        <v>64717</v>
      </c>
      <c r="C21" s="85">
        <f t="shared" ref="C21:M21" si="14">B21*(1+0.0025)</f>
        <v>64878.792499999996</v>
      </c>
      <c r="D21" s="85">
        <f t="shared" si="14"/>
        <v>65040.989481249992</v>
      </c>
      <c r="E21" s="85">
        <f t="shared" si="14"/>
        <v>65203.59195495311</v>
      </c>
      <c r="F21" s="85">
        <f t="shared" si="14"/>
        <v>65366.600934840491</v>
      </c>
      <c r="G21" s="85">
        <f t="shared" si="14"/>
        <v>65530.017437177587</v>
      </c>
      <c r="H21" s="85">
        <f t="shared" si="14"/>
        <v>65693.842480770531</v>
      </c>
      <c r="I21" s="85">
        <f t="shared" si="14"/>
        <v>65858.077086972451</v>
      </c>
      <c r="J21" s="85">
        <f t="shared" si="14"/>
        <v>66022.722279689886</v>
      </c>
      <c r="K21" s="85">
        <f t="shared" si="14"/>
        <v>66187.779085389106</v>
      </c>
      <c r="L21" s="85">
        <f t="shared" si="14"/>
        <v>66353.248533102582</v>
      </c>
      <c r="M21" s="85">
        <f t="shared" si="14"/>
        <v>66519.131654435332</v>
      </c>
    </row>
    <row r="22" spans="1:13" x14ac:dyDescent="0.3">
      <c r="A22" s="31" t="s">
        <v>57</v>
      </c>
      <c r="B22" s="37">
        <v>1200</v>
      </c>
      <c r="C22" s="85">
        <f t="shared" ref="C22:M22" si="15">B22*(1+0.0025)</f>
        <v>1203</v>
      </c>
      <c r="D22" s="85">
        <f t="shared" si="15"/>
        <v>1206.0074999999999</v>
      </c>
      <c r="E22" s="85">
        <f t="shared" si="15"/>
        <v>1209.0225187499998</v>
      </c>
      <c r="F22" s="85">
        <f t="shared" si="15"/>
        <v>1212.0450750468747</v>
      </c>
      <c r="G22" s="85">
        <f t="shared" si="15"/>
        <v>1215.0751877344917</v>
      </c>
      <c r="H22" s="85">
        <f t="shared" si="15"/>
        <v>1218.112875703828</v>
      </c>
      <c r="I22" s="85">
        <f t="shared" si="15"/>
        <v>1221.1581578930875</v>
      </c>
      <c r="J22" s="85">
        <f t="shared" si="15"/>
        <v>1224.2110532878201</v>
      </c>
      <c r="K22" s="85">
        <f t="shared" si="15"/>
        <v>1227.2715809210395</v>
      </c>
      <c r="L22" s="85">
        <f t="shared" si="15"/>
        <v>1230.339759873342</v>
      </c>
      <c r="M22" s="85">
        <f t="shared" si="15"/>
        <v>1233.4156092730252</v>
      </c>
    </row>
    <row r="23" spans="1:13" x14ac:dyDescent="0.3">
      <c r="A23" s="31" t="s">
        <v>58</v>
      </c>
      <c r="B23" s="37">
        <v>400</v>
      </c>
      <c r="C23" s="85">
        <f t="shared" ref="C23:M23" si="16">B23*(1+0.0025)</f>
        <v>401</v>
      </c>
      <c r="D23" s="85">
        <f t="shared" si="16"/>
        <v>402.0025</v>
      </c>
      <c r="E23" s="85">
        <f t="shared" si="16"/>
        <v>403.00750624999995</v>
      </c>
      <c r="F23" s="85">
        <f t="shared" si="16"/>
        <v>404.01502501562493</v>
      </c>
      <c r="G23" s="85">
        <f t="shared" si="16"/>
        <v>405.02506257816395</v>
      </c>
      <c r="H23" s="85">
        <f t="shared" si="16"/>
        <v>406.03762523460932</v>
      </c>
      <c r="I23" s="85">
        <f t="shared" si="16"/>
        <v>407.05271929769583</v>
      </c>
      <c r="J23" s="85">
        <f t="shared" si="16"/>
        <v>408.07035109594005</v>
      </c>
      <c r="K23" s="85">
        <f t="shared" si="16"/>
        <v>409.09052697367986</v>
      </c>
      <c r="L23" s="85">
        <f t="shared" si="16"/>
        <v>410.11325329111406</v>
      </c>
      <c r="M23" s="85">
        <f t="shared" si="16"/>
        <v>411.13853642434185</v>
      </c>
    </row>
    <row r="24" spans="1:13" x14ac:dyDescent="0.3">
      <c r="A24" s="31" t="s">
        <v>59</v>
      </c>
      <c r="B24" s="37">
        <v>600</v>
      </c>
      <c r="C24" s="85">
        <f t="shared" ref="C24:M24" si="17">B24*(1+0.0025)</f>
        <v>601.5</v>
      </c>
      <c r="D24" s="85">
        <f t="shared" si="17"/>
        <v>603.00374999999997</v>
      </c>
      <c r="E24" s="85">
        <f t="shared" si="17"/>
        <v>604.5112593749999</v>
      </c>
      <c r="F24" s="85">
        <f t="shared" si="17"/>
        <v>606.02253752343734</v>
      </c>
      <c r="G24" s="85">
        <f t="shared" si="17"/>
        <v>607.53759386724585</v>
      </c>
      <c r="H24" s="85">
        <f t="shared" si="17"/>
        <v>609.05643785191398</v>
      </c>
      <c r="I24" s="85">
        <f t="shared" si="17"/>
        <v>610.57907894654375</v>
      </c>
      <c r="J24" s="85">
        <f t="shared" si="17"/>
        <v>612.10552664391003</v>
      </c>
      <c r="K24" s="85">
        <f t="shared" si="17"/>
        <v>613.63579046051973</v>
      </c>
      <c r="L24" s="85">
        <f t="shared" si="17"/>
        <v>615.16987993667101</v>
      </c>
      <c r="M24" s="85">
        <f t="shared" si="17"/>
        <v>616.70780463651261</v>
      </c>
    </row>
    <row r="25" spans="1:13" x14ac:dyDescent="0.3">
      <c r="A25" s="31" t="s">
        <v>60</v>
      </c>
      <c r="B25" s="37">
        <v>120</v>
      </c>
      <c r="C25" s="85">
        <f t="shared" ref="C25:M25" si="18">B25*(1+0.0025)</f>
        <v>120.3</v>
      </c>
      <c r="D25" s="85">
        <f t="shared" si="18"/>
        <v>120.60074999999999</v>
      </c>
      <c r="E25" s="85">
        <f t="shared" si="18"/>
        <v>120.90225187499999</v>
      </c>
      <c r="F25" s="85">
        <f t="shared" si="18"/>
        <v>121.20450750468748</v>
      </c>
      <c r="G25" s="85">
        <f t="shared" si="18"/>
        <v>121.50751877344919</v>
      </c>
      <c r="H25" s="85">
        <f t="shared" si="18"/>
        <v>121.8112875703828</v>
      </c>
      <c r="I25" s="85">
        <f t="shared" si="18"/>
        <v>122.11581578930875</v>
      </c>
      <c r="J25" s="85">
        <f t="shared" si="18"/>
        <v>122.42110532878202</v>
      </c>
      <c r="K25" s="85">
        <f t="shared" si="18"/>
        <v>122.72715809210396</v>
      </c>
      <c r="L25" s="85">
        <f t="shared" si="18"/>
        <v>123.03397598733422</v>
      </c>
      <c r="M25" s="85">
        <f t="shared" si="18"/>
        <v>123.34156092730254</v>
      </c>
    </row>
    <row r="26" spans="1:13" ht="15" thickBot="1" x14ac:dyDescent="0.35">
      <c r="A26" s="86" t="s">
        <v>61</v>
      </c>
      <c r="B26" s="87">
        <v>150</v>
      </c>
      <c r="C26" s="88">
        <f t="shared" ref="C26:M26" si="19">B26*(1+0.0025)</f>
        <v>150.375</v>
      </c>
      <c r="D26" s="88">
        <f t="shared" si="19"/>
        <v>150.75093749999999</v>
      </c>
      <c r="E26" s="88">
        <f t="shared" si="19"/>
        <v>151.12781484374997</v>
      </c>
      <c r="F26" s="88">
        <f t="shared" si="19"/>
        <v>151.50563438085933</v>
      </c>
      <c r="G26" s="88">
        <f t="shared" si="19"/>
        <v>151.88439846681146</v>
      </c>
      <c r="H26" s="88">
        <f t="shared" si="19"/>
        <v>152.2641094629785</v>
      </c>
      <c r="I26" s="88">
        <f t="shared" si="19"/>
        <v>152.64476973663594</v>
      </c>
      <c r="J26" s="88">
        <f t="shared" si="19"/>
        <v>153.02638166097751</v>
      </c>
      <c r="K26" s="88">
        <f t="shared" si="19"/>
        <v>153.40894761512993</v>
      </c>
      <c r="L26" s="88">
        <f t="shared" si="19"/>
        <v>153.79246998416775</v>
      </c>
      <c r="M26" s="88">
        <f t="shared" si="19"/>
        <v>154.17695115912815</v>
      </c>
    </row>
    <row r="27" spans="1:13" ht="15" thickBot="1" x14ac:dyDescent="0.35">
      <c r="A27" s="103" t="s">
        <v>68</v>
      </c>
      <c r="B27" s="104">
        <f t="shared" ref="B27:M27" si="20">SUM(B7:B26)</f>
        <v>122157.68</v>
      </c>
      <c r="C27" s="42">
        <f t="shared" si="20"/>
        <v>122463.07419999999</v>
      </c>
      <c r="D27" s="42">
        <f t="shared" si="20"/>
        <v>122769.23188549999</v>
      </c>
      <c r="E27" s="42">
        <f t="shared" si="20"/>
        <v>123076.15496521373</v>
      </c>
      <c r="F27" s="42">
        <f t="shared" si="20"/>
        <v>123383.84535262677</v>
      </c>
      <c r="G27" s="42">
        <f t="shared" si="20"/>
        <v>123692.30496600831</v>
      </c>
      <c r="H27" s="42">
        <f t="shared" si="20"/>
        <v>124001.53572842332</v>
      </c>
      <c r="I27" s="42">
        <f t="shared" si="20"/>
        <v>124311.53956774439</v>
      </c>
      <c r="J27" s="42">
        <f t="shared" si="20"/>
        <v>124622.31841666374</v>
      </c>
      <c r="K27" s="42">
        <f t="shared" si="20"/>
        <v>124933.87421270538</v>
      </c>
      <c r="L27" s="42">
        <f t="shared" si="20"/>
        <v>125246.20889823716</v>
      </c>
      <c r="M27" s="42">
        <f t="shared" si="20"/>
        <v>125559.32442048275</v>
      </c>
    </row>
    <row r="28" spans="1:13" ht="15" thickBot="1" x14ac:dyDescent="0.35"/>
    <row r="29" spans="1:13" x14ac:dyDescent="0.3">
      <c r="A29" s="105" t="s">
        <v>63</v>
      </c>
      <c r="B29" s="106">
        <f>SUM(B27:M27)</f>
        <v>1486217.0926136055</v>
      </c>
    </row>
    <row r="30" spans="1:13" x14ac:dyDescent="0.3">
      <c r="A30" s="107" t="s">
        <v>36</v>
      </c>
      <c r="B30" s="108">
        <v>0.04</v>
      </c>
    </row>
    <row r="31" spans="1:13" x14ac:dyDescent="0.3">
      <c r="A31" s="109" t="s">
        <v>64</v>
      </c>
      <c r="B31" s="110">
        <f>B29*(1+B30)</f>
        <v>1545665.7763181499</v>
      </c>
    </row>
    <row r="32" spans="1:13" x14ac:dyDescent="0.3">
      <c r="A32" s="109" t="s">
        <v>65</v>
      </c>
      <c r="B32" s="110">
        <f>B31*(1+B30)</f>
        <v>1607492.4073708758</v>
      </c>
    </row>
    <row r="33" spans="1:13" x14ac:dyDescent="0.3">
      <c r="A33" s="109" t="s">
        <v>66</v>
      </c>
      <c r="B33" s="110">
        <f>B32*(1+B30)</f>
        <v>1671792.1036657109</v>
      </c>
    </row>
    <row r="34" spans="1:13" ht="15" thickBot="1" x14ac:dyDescent="0.35">
      <c r="A34" s="111" t="s">
        <v>67</v>
      </c>
      <c r="B34" s="112">
        <f>B33*(1+B30)</f>
        <v>1738663.7878123394</v>
      </c>
    </row>
    <row r="36" spans="1:13" ht="15" thickBot="1" x14ac:dyDescent="0.35"/>
    <row r="37" spans="1:13" ht="15" thickBot="1" x14ac:dyDescent="0.35">
      <c r="A37" s="80" t="s">
        <v>69</v>
      </c>
    </row>
    <row r="38" spans="1:13" ht="15" thickBot="1" x14ac:dyDescent="0.35">
      <c r="A38" s="202" t="s">
        <v>4</v>
      </c>
      <c r="B38" s="203"/>
      <c r="C38" s="13" t="s">
        <v>19</v>
      </c>
      <c r="D38" s="13" t="s">
        <v>20</v>
      </c>
      <c r="E38" s="13" t="s">
        <v>21</v>
      </c>
      <c r="F38" s="13" t="s">
        <v>22</v>
      </c>
      <c r="G38" s="13" t="s">
        <v>23</v>
      </c>
      <c r="H38" s="13" t="s">
        <v>24</v>
      </c>
      <c r="I38" s="13" t="s">
        <v>25</v>
      </c>
      <c r="J38" s="13" t="s">
        <v>26</v>
      </c>
      <c r="K38" s="13" t="s">
        <v>27</v>
      </c>
      <c r="L38" s="13" t="s">
        <v>28</v>
      </c>
      <c r="M38" s="13" t="s">
        <v>30</v>
      </c>
    </row>
    <row r="39" spans="1:13" ht="15" thickBot="1" x14ac:dyDescent="0.35">
      <c r="A39" s="4" t="s">
        <v>41</v>
      </c>
      <c r="B39" s="6" t="s">
        <v>1</v>
      </c>
      <c r="C39" s="19" t="s">
        <v>1</v>
      </c>
      <c r="D39" s="19" t="s">
        <v>1</v>
      </c>
      <c r="E39" s="19" t="s">
        <v>1</v>
      </c>
      <c r="F39" s="19" t="s">
        <v>1</v>
      </c>
      <c r="G39" s="19" t="s">
        <v>1</v>
      </c>
      <c r="H39" s="19" t="s">
        <v>1</v>
      </c>
      <c r="I39" s="19" t="s">
        <v>1</v>
      </c>
      <c r="J39" s="19" t="s">
        <v>1</v>
      </c>
      <c r="K39" s="19" t="s">
        <v>1</v>
      </c>
      <c r="L39" s="19" t="s">
        <v>1</v>
      </c>
      <c r="M39" s="19" t="s">
        <v>1</v>
      </c>
    </row>
    <row r="40" spans="1:13" x14ac:dyDescent="0.3">
      <c r="A40" s="73" t="s">
        <v>42</v>
      </c>
      <c r="B40" s="69">
        <v>4000</v>
      </c>
      <c r="C40" s="75">
        <f>(B40*F35)+B40</f>
        <v>4000</v>
      </c>
      <c r="D40" s="75">
        <f>(C40*F35)+C40</f>
        <v>4000</v>
      </c>
      <c r="E40" s="75">
        <f>(D40*F35)+D40</f>
        <v>4000</v>
      </c>
      <c r="F40" s="75">
        <f>(E40*F35)+E40</f>
        <v>4000</v>
      </c>
      <c r="G40" s="75">
        <f>(F40*F35)+F40</f>
        <v>4000</v>
      </c>
      <c r="H40" s="75">
        <f>(G40*F35)+G40</f>
        <v>4000</v>
      </c>
      <c r="I40" s="75">
        <f>(H40*F35)+H40</f>
        <v>4000</v>
      </c>
      <c r="J40" s="75">
        <f>(I40*F35)+I40</f>
        <v>4000</v>
      </c>
      <c r="K40" s="75">
        <f>(J40*F35)+J40</f>
        <v>4000</v>
      </c>
      <c r="L40" s="75">
        <f>(K40*F35)+K40</f>
        <v>4000</v>
      </c>
      <c r="M40" s="75">
        <f>(L40*F35)+L40</f>
        <v>4000</v>
      </c>
    </row>
    <row r="41" spans="1:13" x14ac:dyDescent="0.3">
      <c r="A41" s="74" t="s">
        <v>43</v>
      </c>
      <c r="B41" s="70">
        <v>3300</v>
      </c>
      <c r="C41" s="75">
        <f t="shared" ref="C41:M42" si="21">B41*(1+0.0025)</f>
        <v>3308.25</v>
      </c>
      <c r="D41" s="75">
        <f t="shared" si="21"/>
        <v>3316.5206249999997</v>
      </c>
      <c r="E41" s="75">
        <f t="shared" si="21"/>
        <v>3324.8119265624996</v>
      </c>
      <c r="F41" s="75">
        <f t="shared" si="21"/>
        <v>3333.1239563789059</v>
      </c>
      <c r="G41" s="75">
        <f t="shared" si="21"/>
        <v>3341.4567662698528</v>
      </c>
      <c r="H41" s="75">
        <f t="shared" si="21"/>
        <v>3349.8104081855272</v>
      </c>
      <c r="I41" s="75">
        <f t="shared" si="21"/>
        <v>3358.1849342059909</v>
      </c>
      <c r="J41" s="75">
        <f t="shared" si="21"/>
        <v>3366.5803965415057</v>
      </c>
      <c r="K41" s="75">
        <f t="shared" si="21"/>
        <v>3374.9968475328592</v>
      </c>
      <c r="L41" s="75">
        <f t="shared" si="21"/>
        <v>3383.4343396516911</v>
      </c>
      <c r="M41" s="75">
        <f t="shared" si="21"/>
        <v>3391.8929255008202</v>
      </c>
    </row>
    <row r="42" spans="1:13" x14ac:dyDescent="0.3">
      <c r="A42" s="74" t="s">
        <v>44</v>
      </c>
      <c r="B42" s="70">
        <v>100</v>
      </c>
      <c r="C42" s="75">
        <f t="shared" si="21"/>
        <v>100.25</v>
      </c>
      <c r="D42" s="75">
        <f t="shared" si="21"/>
        <v>100.500625</v>
      </c>
      <c r="E42" s="75">
        <f t="shared" si="21"/>
        <v>100.75187656249999</v>
      </c>
      <c r="F42" s="75">
        <f t="shared" si="21"/>
        <v>101.00375625390623</v>
      </c>
      <c r="G42" s="75">
        <f t="shared" si="21"/>
        <v>101.25626564454099</v>
      </c>
      <c r="H42" s="75">
        <f t="shared" si="21"/>
        <v>101.50940630865233</v>
      </c>
      <c r="I42" s="75">
        <f t="shared" si="21"/>
        <v>101.76317982442396</v>
      </c>
      <c r="J42" s="75">
        <f t="shared" si="21"/>
        <v>102.01758777398501</v>
      </c>
      <c r="K42" s="75">
        <f t="shared" si="21"/>
        <v>102.27263174341996</v>
      </c>
      <c r="L42" s="75">
        <f t="shared" si="21"/>
        <v>102.52831332277852</v>
      </c>
      <c r="M42" s="75">
        <f t="shared" si="21"/>
        <v>102.78463410608546</v>
      </c>
    </row>
    <row r="43" spans="1:13" x14ac:dyDescent="0.3">
      <c r="A43" s="74" t="s">
        <v>48</v>
      </c>
      <c r="B43" s="70">
        <v>300</v>
      </c>
      <c r="C43" s="76">
        <f t="shared" ref="C43:M44" si="22">B43*(1+0.0025)</f>
        <v>300.75</v>
      </c>
      <c r="D43" s="76">
        <f t="shared" si="22"/>
        <v>301.50187499999998</v>
      </c>
      <c r="E43" s="76">
        <f t="shared" si="22"/>
        <v>302.25562968749995</v>
      </c>
      <c r="F43" s="76">
        <f t="shared" si="22"/>
        <v>303.01126876171867</v>
      </c>
      <c r="G43" s="76">
        <f t="shared" si="22"/>
        <v>303.76879693362292</v>
      </c>
      <c r="H43" s="76">
        <f t="shared" si="22"/>
        <v>304.52821892595699</v>
      </c>
      <c r="I43" s="76">
        <f t="shared" si="22"/>
        <v>305.28953947327187</v>
      </c>
      <c r="J43" s="76">
        <f t="shared" si="22"/>
        <v>306.05276332195501</v>
      </c>
      <c r="K43" s="76">
        <f t="shared" si="22"/>
        <v>306.81789523025986</v>
      </c>
      <c r="L43" s="76">
        <f t="shared" si="22"/>
        <v>307.5849399683355</v>
      </c>
      <c r="M43" s="76">
        <f t="shared" si="22"/>
        <v>308.3539023182563</v>
      </c>
    </row>
    <row r="44" spans="1:13" x14ac:dyDescent="0.3">
      <c r="A44" s="74" t="s">
        <v>56</v>
      </c>
      <c r="B44" s="70">
        <v>64717</v>
      </c>
      <c r="C44" s="76">
        <f t="shared" si="22"/>
        <v>64878.792499999996</v>
      </c>
      <c r="D44" s="76">
        <f t="shared" si="22"/>
        <v>65040.989481249992</v>
      </c>
      <c r="E44" s="76">
        <f t="shared" si="22"/>
        <v>65203.59195495311</v>
      </c>
      <c r="F44" s="76">
        <f t="shared" si="22"/>
        <v>65366.600934840491</v>
      </c>
      <c r="G44" s="76">
        <f t="shared" si="22"/>
        <v>65530.017437177587</v>
      </c>
      <c r="H44" s="76">
        <f t="shared" si="22"/>
        <v>65693.842480770531</v>
      </c>
      <c r="I44" s="76">
        <f t="shared" si="22"/>
        <v>65858.077086972451</v>
      </c>
      <c r="J44" s="76">
        <f t="shared" si="22"/>
        <v>66022.722279689886</v>
      </c>
      <c r="K44" s="76">
        <f t="shared" si="22"/>
        <v>66187.779085389106</v>
      </c>
      <c r="L44" s="76">
        <f t="shared" si="22"/>
        <v>66353.248533102582</v>
      </c>
      <c r="M44" s="76">
        <f t="shared" si="22"/>
        <v>66519.131654435332</v>
      </c>
    </row>
    <row r="45" spans="1:13" x14ac:dyDescent="0.3">
      <c r="A45" s="74" t="s">
        <v>59</v>
      </c>
      <c r="B45" s="70">
        <v>600</v>
      </c>
      <c r="C45" s="76">
        <f t="shared" ref="C45:M45" si="23">B45*(1+0.0025)</f>
        <v>601.5</v>
      </c>
      <c r="D45" s="76">
        <f t="shared" si="23"/>
        <v>603.00374999999997</v>
      </c>
      <c r="E45" s="76">
        <f t="shared" si="23"/>
        <v>604.5112593749999</v>
      </c>
      <c r="F45" s="76">
        <f t="shared" si="23"/>
        <v>606.02253752343734</v>
      </c>
      <c r="G45" s="76">
        <f t="shared" si="23"/>
        <v>607.53759386724585</v>
      </c>
      <c r="H45" s="76">
        <f t="shared" si="23"/>
        <v>609.05643785191398</v>
      </c>
      <c r="I45" s="76">
        <f t="shared" si="23"/>
        <v>610.57907894654375</v>
      </c>
      <c r="J45" s="76">
        <f t="shared" si="23"/>
        <v>612.10552664391003</v>
      </c>
      <c r="K45" s="76">
        <f t="shared" si="23"/>
        <v>613.63579046051973</v>
      </c>
      <c r="L45" s="76">
        <f t="shared" si="23"/>
        <v>615.16987993667101</v>
      </c>
      <c r="M45" s="76">
        <f t="shared" si="23"/>
        <v>616.70780463651261</v>
      </c>
    </row>
    <row r="46" spans="1:13" ht="15" thickBot="1" x14ac:dyDescent="0.35">
      <c r="A46" s="77" t="s">
        <v>60</v>
      </c>
      <c r="B46" s="78">
        <v>120</v>
      </c>
      <c r="C46" s="79">
        <f t="shared" ref="C46:M46" si="24">B46*(1+0.0025)</f>
        <v>120.3</v>
      </c>
      <c r="D46" s="79">
        <f t="shared" si="24"/>
        <v>120.60074999999999</v>
      </c>
      <c r="E46" s="79">
        <f t="shared" si="24"/>
        <v>120.90225187499999</v>
      </c>
      <c r="F46" s="79">
        <f t="shared" si="24"/>
        <v>121.20450750468748</v>
      </c>
      <c r="G46" s="79">
        <f t="shared" si="24"/>
        <v>121.50751877344919</v>
      </c>
      <c r="H46" s="79">
        <f t="shared" si="24"/>
        <v>121.8112875703828</v>
      </c>
      <c r="I46" s="79">
        <f t="shared" si="24"/>
        <v>122.11581578930875</v>
      </c>
      <c r="J46" s="79">
        <f t="shared" si="24"/>
        <v>122.42110532878202</v>
      </c>
      <c r="K46" s="79">
        <f t="shared" si="24"/>
        <v>122.72715809210396</v>
      </c>
      <c r="L46" s="79">
        <f t="shared" si="24"/>
        <v>123.03397598733422</v>
      </c>
      <c r="M46" s="79">
        <f t="shared" si="24"/>
        <v>123.34156092730254</v>
      </c>
    </row>
    <row r="47" spans="1:13" ht="15" thickBot="1" x14ac:dyDescent="0.35">
      <c r="A47" s="103" t="s">
        <v>70</v>
      </c>
      <c r="B47" s="113">
        <f>SUM(B40:B46)</f>
        <v>73137</v>
      </c>
      <c r="C47" s="114">
        <f t="shared" ref="C47:M47" si="25">SUM(C40:C46)</f>
        <v>73309.842499999999</v>
      </c>
      <c r="D47" s="114">
        <f t="shared" si="25"/>
        <v>73483.117106249993</v>
      </c>
      <c r="E47" s="114">
        <f t="shared" si="25"/>
        <v>73656.824899015599</v>
      </c>
      <c r="F47" s="114">
        <f t="shared" si="25"/>
        <v>73830.966961263155</v>
      </c>
      <c r="G47" s="114">
        <f t="shared" si="25"/>
        <v>74005.544378666309</v>
      </c>
      <c r="H47" s="114">
        <f t="shared" si="25"/>
        <v>74180.558239612961</v>
      </c>
      <c r="I47" s="114">
        <f t="shared" si="25"/>
        <v>74356.009635211987</v>
      </c>
      <c r="J47" s="114">
        <f t="shared" si="25"/>
        <v>74531.899659300019</v>
      </c>
      <c r="K47" s="114">
        <f t="shared" si="25"/>
        <v>74708.229408448271</v>
      </c>
      <c r="L47" s="114">
        <f t="shared" si="25"/>
        <v>74884.999981969391</v>
      </c>
      <c r="M47" s="114">
        <f t="shared" si="25"/>
        <v>75062.212481924304</v>
      </c>
    </row>
    <row r="48" spans="1:13" ht="15" thickBot="1" x14ac:dyDescent="0.35"/>
    <row r="49" spans="1:2" x14ac:dyDescent="0.3">
      <c r="A49" s="115" t="s">
        <v>63</v>
      </c>
      <c r="B49" s="116">
        <f>SUM(B47:M47)</f>
        <v>889147.20525166206</v>
      </c>
    </row>
    <row r="50" spans="1:2" x14ac:dyDescent="0.3">
      <c r="A50" s="117" t="s">
        <v>36</v>
      </c>
      <c r="B50" s="108">
        <v>0.04</v>
      </c>
    </row>
    <row r="51" spans="1:2" x14ac:dyDescent="0.3">
      <c r="A51" s="118" t="s">
        <v>64</v>
      </c>
      <c r="B51" s="119">
        <f>B49*(1+B50)</f>
        <v>924713.09346172854</v>
      </c>
    </row>
    <row r="52" spans="1:2" x14ac:dyDescent="0.3">
      <c r="A52" s="118" t="s">
        <v>65</v>
      </c>
      <c r="B52" s="119">
        <f>B51*(1+B50)</f>
        <v>961701.61720019777</v>
      </c>
    </row>
    <row r="53" spans="1:2" x14ac:dyDescent="0.3">
      <c r="A53" s="118" t="s">
        <v>66</v>
      </c>
      <c r="B53" s="119">
        <f>B52*(1+B50)</f>
        <v>1000169.6818882057</v>
      </c>
    </row>
    <row r="54" spans="1:2" ht="15" thickBot="1" x14ac:dyDescent="0.35">
      <c r="A54" s="120" t="s">
        <v>67</v>
      </c>
      <c r="B54" s="121">
        <f>B53*(1+B50)</f>
        <v>1040176.469163734</v>
      </c>
    </row>
  </sheetData>
  <mergeCells count="5">
    <mergeCell ref="F2:F3"/>
    <mergeCell ref="A2:A3"/>
    <mergeCell ref="A38:B38"/>
    <mergeCell ref="A5:B5"/>
    <mergeCell ref="D2:E3"/>
  </mergeCells>
  <phoneticPr fontId="13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977AA-4643-4EAC-BF46-8705FFC8F4A7}">
  <dimension ref="A1:AO43"/>
  <sheetViews>
    <sheetView workbookViewId="0">
      <pane xSplit="2" topLeftCell="L1" activePane="topRight" state="frozen"/>
      <selection pane="topRight" activeCell="A2" sqref="A2:A3"/>
    </sheetView>
  </sheetViews>
  <sheetFormatPr defaultRowHeight="14.4" x14ac:dyDescent="0.3"/>
  <cols>
    <col min="1" max="1" width="20.5546875" bestFit="1" customWidth="1"/>
    <col min="2" max="2" width="8" bestFit="1" customWidth="1"/>
    <col min="3" max="3" width="13.88671875" bestFit="1" customWidth="1"/>
    <col min="4" max="4" width="9.109375" bestFit="1" customWidth="1"/>
    <col min="5" max="5" width="11.5546875" bestFit="1" customWidth="1"/>
    <col min="6" max="6" width="13.88671875" bestFit="1" customWidth="1"/>
    <col min="7" max="7" width="9.88671875" bestFit="1" customWidth="1"/>
    <col min="8" max="8" width="11.5546875" bestFit="1" customWidth="1"/>
    <col min="9" max="9" width="13.88671875" bestFit="1" customWidth="1"/>
    <col min="10" max="10" width="9.88671875" bestFit="1" customWidth="1"/>
    <col min="11" max="11" width="11.5546875" bestFit="1" customWidth="1"/>
    <col min="12" max="12" width="13.88671875" bestFit="1" customWidth="1"/>
    <col min="13" max="13" width="9.88671875" bestFit="1" customWidth="1"/>
    <col min="14" max="14" width="11.5546875" bestFit="1" customWidth="1"/>
    <col min="15" max="15" width="13.88671875" bestFit="1" customWidth="1"/>
    <col min="16" max="16" width="9.88671875" bestFit="1" customWidth="1"/>
    <col min="17" max="17" width="11.5546875" bestFit="1" customWidth="1"/>
    <col min="18" max="18" width="14" bestFit="1" customWidth="1"/>
    <col min="19" max="19" width="9.88671875" bestFit="1" customWidth="1"/>
    <col min="20" max="20" width="11.5546875" bestFit="1" customWidth="1"/>
    <col min="21" max="21" width="14" bestFit="1" customWidth="1"/>
    <col min="22" max="22" width="9.88671875" bestFit="1" customWidth="1"/>
    <col min="23" max="23" width="12.5546875" bestFit="1" customWidth="1"/>
    <col min="24" max="24" width="14" bestFit="1" customWidth="1"/>
    <col min="25" max="25" width="9.88671875" bestFit="1" customWidth="1"/>
    <col min="26" max="26" width="12.5546875" bestFit="1" customWidth="1"/>
    <col min="27" max="27" width="14" bestFit="1" customWidth="1"/>
    <col min="28" max="28" width="9.88671875" bestFit="1" customWidth="1"/>
    <col min="29" max="29" width="12.5546875" bestFit="1" customWidth="1"/>
    <col min="30" max="30" width="14" bestFit="1" customWidth="1"/>
    <col min="31" max="31" width="9.88671875" bestFit="1" customWidth="1"/>
    <col min="32" max="32" width="12.5546875" bestFit="1" customWidth="1"/>
    <col min="33" max="33" width="14" bestFit="1" customWidth="1"/>
    <col min="34" max="34" width="9.88671875" bestFit="1" customWidth="1"/>
    <col min="35" max="35" width="12.5546875" bestFit="1" customWidth="1"/>
    <col min="36" max="36" width="14" bestFit="1" customWidth="1"/>
    <col min="37" max="37" width="9.88671875" bestFit="1" customWidth="1"/>
    <col min="38" max="38" width="12.5546875" bestFit="1" customWidth="1"/>
  </cols>
  <sheetData>
    <row r="1" spans="1:41" ht="15" thickBot="1" x14ac:dyDescent="0.35"/>
    <row r="2" spans="1:41" x14ac:dyDescent="0.3">
      <c r="A2" s="182" t="s">
        <v>3</v>
      </c>
    </row>
    <row r="3" spans="1:41" ht="15" thickBot="1" x14ac:dyDescent="0.35">
      <c r="A3" s="183"/>
    </row>
    <row r="4" spans="1:41" ht="15" thickBot="1" x14ac:dyDescent="0.35"/>
    <row r="5" spans="1:41" x14ac:dyDescent="0.3">
      <c r="A5" s="208" t="s">
        <v>89</v>
      </c>
      <c r="B5" s="209"/>
      <c r="C5" s="219" t="s">
        <v>4</v>
      </c>
      <c r="D5" s="220"/>
      <c r="E5" s="221"/>
      <c r="F5" s="219" t="s">
        <v>19</v>
      </c>
      <c r="G5" s="220"/>
      <c r="H5" s="221"/>
      <c r="I5" s="219" t="s">
        <v>20</v>
      </c>
      <c r="J5" s="220"/>
      <c r="K5" s="221"/>
      <c r="L5" s="219" t="s">
        <v>21</v>
      </c>
      <c r="M5" s="220"/>
      <c r="N5" s="221"/>
      <c r="O5" s="219" t="s">
        <v>22</v>
      </c>
      <c r="P5" s="220"/>
      <c r="Q5" s="221"/>
      <c r="R5" s="219" t="s">
        <v>23</v>
      </c>
      <c r="S5" s="220"/>
      <c r="T5" s="221"/>
      <c r="U5" s="219" t="s">
        <v>24</v>
      </c>
      <c r="V5" s="220"/>
      <c r="W5" s="221"/>
      <c r="X5" s="219" t="s">
        <v>25</v>
      </c>
      <c r="Y5" s="220"/>
      <c r="Z5" s="221"/>
      <c r="AA5" s="219" t="s">
        <v>26</v>
      </c>
      <c r="AB5" s="220"/>
      <c r="AC5" s="221"/>
      <c r="AD5" s="219" t="s">
        <v>27</v>
      </c>
      <c r="AE5" s="220"/>
      <c r="AF5" s="221"/>
      <c r="AG5" s="219" t="s">
        <v>28</v>
      </c>
      <c r="AH5" s="220"/>
      <c r="AI5" s="221"/>
      <c r="AJ5" s="219" t="s">
        <v>30</v>
      </c>
      <c r="AK5" s="220"/>
      <c r="AL5" s="221"/>
    </row>
    <row r="6" spans="1:41" x14ac:dyDescent="0.3">
      <c r="A6" s="27" t="s">
        <v>41</v>
      </c>
      <c r="B6" s="28" t="s">
        <v>76</v>
      </c>
      <c r="C6" s="46" t="s">
        <v>5</v>
      </c>
      <c r="D6" s="44" t="s">
        <v>77</v>
      </c>
      <c r="E6" s="45" t="s">
        <v>85</v>
      </c>
      <c r="F6" s="46" t="s">
        <v>5</v>
      </c>
      <c r="G6" s="44" t="s">
        <v>77</v>
      </c>
      <c r="H6" s="45" t="s">
        <v>85</v>
      </c>
      <c r="I6" s="46" t="s">
        <v>5</v>
      </c>
      <c r="J6" s="44" t="s">
        <v>77</v>
      </c>
      <c r="K6" s="45" t="s">
        <v>85</v>
      </c>
      <c r="L6" s="46" t="s">
        <v>5</v>
      </c>
      <c r="M6" s="44" t="s">
        <v>77</v>
      </c>
      <c r="N6" s="45" t="s">
        <v>85</v>
      </c>
      <c r="O6" s="46" t="s">
        <v>5</v>
      </c>
      <c r="P6" s="44" t="s">
        <v>77</v>
      </c>
      <c r="Q6" s="45" t="s">
        <v>85</v>
      </c>
      <c r="R6" s="46" t="s">
        <v>5</v>
      </c>
      <c r="S6" s="44" t="s">
        <v>77</v>
      </c>
      <c r="T6" s="45" t="s">
        <v>85</v>
      </c>
      <c r="U6" s="46" t="s">
        <v>5</v>
      </c>
      <c r="V6" s="44" t="s">
        <v>77</v>
      </c>
      <c r="W6" s="45" t="s">
        <v>85</v>
      </c>
      <c r="X6" s="46" t="s">
        <v>5</v>
      </c>
      <c r="Y6" s="44" t="s">
        <v>77</v>
      </c>
      <c r="Z6" s="45" t="s">
        <v>85</v>
      </c>
      <c r="AA6" s="46" t="s">
        <v>5</v>
      </c>
      <c r="AB6" s="44" t="s">
        <v>77</v>
      </c>
      <c r="AC6" s="45" t="s">
        <v>85</v>
      </c>
      <c r="AD6" s="46" t="s">
        <v>5</v>
      </c>
      <c r="AE6" s="44" t="s">
        <v>77</v>
      </c>
      <c r="AF6" s="45" t="s">
        <v>85</v>
      </c>
      <c r="AG6" s="46" t="s">
        <v>5</v>
      </c>
      <c r="AH6" s="44" t="s">
        <v>77</v>
      </c>
      <c r="AI6" s="45" t="s">
        <v>85</v>
      </c>
      <c r="AJ6" s="46" t="s">
        <v>5</v>
      </c>
      <c r="AK6" s="44" t="s">
        <v>77</v>
      </c>
      <c r="AL6" s="45" t="s">
        <v>85</v>
      </c>
    </row>
    <row r="7" spans="1:41" x14ac:dyDescent="0.3">
      <c r="A7" s="29" t="s">
        <v>71</v>
      </c>
      <c r="B7" s="30">
        <v>0.15</v>
      </c>
      <c r="C7" s="36" t="s">
        <v>86</v>
      </c>
      <c r="D7" s="11">
        <f>'FAT E CUSTO VARIÁVEL'!E7:E10-'FAT E CUSTO VARIÁVEL'!I7:I10-'CUSTOS FIXOS'!B27</f>
        <v>82602.48000000001</v>
      </c>
      <c r="E7" s="37">
        <f>(D7*0.15)+IF(D7&gt;20000,(D7-20000)*0.1,0)</f>
        <v>18650.620000000003</v>
      </c>
      <c r="F7" s="36" t="s">
        <v>86</v>
      </c>
      <c r="G7" s="11">
        <f>G21</f>
        <v>97654.097800000003</v>
      </c>
      <c r="H7" s="37">
        <f>(G7*0.15)+IF(G7&gt;20000,(G7-20000)*0.1,0)</f>
        <v>22413.524450000001</v>
      </c>
      <c r="I7" s="36" t="s">
        <v>86</v>
      </c>
      <c r="J7" s="11">
        <f>J21</f>
        <v>113856.73</v>
      </c>
      <c r="K7" s="37">
        <f>(J7*0.15)+IF(J7&gt;20000,(J7-20000)*0.1,0)</f>
        <v>26464.182500000003</v>
      </c>
      <c r="L7" s="36" t="s">
        <v>86</v>
      </c>
      <c r="M7" s="11">
        <f>M21</f>
        <v>131296.75999999998</v>
      </c>
      <c r="N7" s="37">
        <f>(M7*0.15)+IF(M7&gt;20000,(M7-20000)*0.1,0)</f>
        <v>30824.189999999995</v>
      </c>
      <c r="O7" s="36" t="s">
        <v>86</v>
      </c>
      <c r="P7" s="11">
        <f>P21</f>
        <v>150067.03</v>
      </c>
      <c r="Q7" s="37">
        <f>(P7*0.15)+IF(P7&gt;20000,(P7-20000)*0.1,0)</f>
        <v>35516.7575</v>
      </c>
      <c r="R7" s="36" t="s">
        <v>86</v>
      </c>
      <c r="S7" s="11">
        <f>S21</f>
        <v>170267.38999999996</v>
      </c>
      <c r="T7" s="37">
        <f>(S7*0.15)+IF(S7&gt;20000,(S7-20000)*0.1,0)</f>
        <v>40566.847499999989</v>
      </c>
      <c r="U7" s="36" t="s">
        <v>86</v>
      </c>
      <c r="V7" s="11">
        <f>V21</f>
        <v>192005.12</v>
      </c>
      <c r="W7" s="37">
        <f>(V7*0.15)+IF(V7&gt;20000,(V7-20000)*0.1,0)</f>
        <v>46001.279999999999</v>
      </c>
      <c r="X7" s="36" t="s">
        <v>86</v>
      </c>
      <c r="Y7" s="11">
        <f>Y21</f>
        <v>215395.63</v>
      </c>
      <c r="Z7" s="37">
        <f>(Y7*0.15)+IF(Y7&gt;20000,(Y7-20000)*0.1,0)</f>
        <v>51848.907500000001</v>
      </c>
      <c r="AA7" s="36" t="s">
        <v>86</v>
      </c>
      <c r="AB7" s="11">
        <f>AB21</f>
        <v>240562.87999999995</v>
      </c>
      <c r="AC7" s="37">
        <f>(AB7*0.15)+IF(AB7&gt;20000,(AB7-20000)*0.1,0)</f>
        <v>58140.719999999987</v>
      </c>
      <c r="AD7" s="36" t="s">
        <v>86</v>
      </c>
      <c r="AE7" s="11">
        <f>AE21</f>
        <v>267640.23</v>
      </c>
      <c r="AF7" s="37">
        <f>(AE7*0.15)+IF(AE7&gt;20000,(AE7-20000)*0.1,0)</f>
        <v>64910.057499999995</v>
      </c>
      <c r="AG7" s="36" t="s">
        <v>86</v>
      </c>
      <c r="AH7" s="11">
        <f>AH21</f>
        <v>296770.93999999994</v>
      </c>
      <c r="AI7" s="37">
        <f>(AH7*0.15)+IF(AH7&gt;20000,(AH7-20000)*0.1,0)</f>
        <v>72192.734999999986</v>
      </c>
      <c r="AJ7" s="36" t="s">
        <v>86</v>
      </c>
      <c r="AK7" s="11">
        <f>AK21</f>
        <v>328109.12</v>
      </c>
      <c r="AL7" s="37">
        <f>(AK7*0.15)+IF(AK7&gt;20000,(AK7-20000)*0.1,0)</f>
        <v>80027.28</v>
      </c>
    </row>
    <row r="8" spans="1:41" x14ac:dyDescent="0.3">
      <c r="A8" s="31" t="s">
        <v>72</v>
      </c>
      <c r="B8" s="32">
        <v>0.09</v>
      </c>
      <c r="C8" s="36" t="s">
        <v>86</v>
      </c>
      <c r="D8" s="11">
        <v>86003.14</v>
      </c>
      <c r="E8" s="37">
        <f>D8*B8</f>
        <v>7740.2825999999995</v>
      </c>
      <c r="F8" s="36" t="s">
        <v>86</v>
      </c>
      <c r="G8" s="11">
        <f>G21</f>
        <v>97654.097800000003</v>
      </c>
      <c r="H8" s="37">
        <f>G8*B8</f>
        <v>8788.8688020000009</v>
      </c>
      <c r="I8" s="36" t="s">
        <v>86</v>
      </c>
      <c r="J8" s="11">
        <f>J21</f>
        <v>113856.73</v>
      </c>
      <c r="K8" s="37">
        <f>J8*B8</f>
        <v>10247.1057</v>
      </c>
      <c r="L8" s="36" t="s">
        <v>86</v>
      </c>
      <c r="M8" s="11">
        <f>M21</f>
        <v>131296.75999999998</v>
      </c>
      <c r="N8" s="37">
        <f>M8*B8</f>
        <v>11816.708399999998</v>
      </c>
      <c r="O8" s="36" t="s">
        <v>86</v>
      </c>
      <c r="P8" s="11">
        <f>P21</f>
        <v>150067.03</v>
      </c>
      <c r="Q8" s="37">
        <f>P8*B8</f>
        <v>13506.0327</v>
      </c>
      <c r="R8" s="36" t="s">
        <v>86</v>
      </c>
      <c r="S8" s="11">
        <f>S21</f>
        <v>170267.38999999996</v>
      </c>
      <c r="T8" s="37">
        <f>S8*B8</f>
        <v>15324.065099999996</v>
      </c>
      <c r="U8" s="36" t="s">
        <v>86</v>
      </c>
      <c r="V8" s="11">
        <f>V21</f>
        <v>192005.12</v>
      </c>
      <c r="W8" s="37">
        <f>V8*B8</f>
        <v>17280.460800000001</v>
      </c>
      <c r="X8" s="36" t="s">
        <v>86</v>
      </c>
      <c r="Y8" s="11">
        <f>Y21</f>
        <v>215395.63</v>
      </c>
      <c r="Z8" s="37">
        <f>Y8*B8</f>
        <v>19385.6067</v>
      </c>
      <c r="AA8" s="36" t="s">
        <v>86</v>
      </c>
      <c r="AB8" s="11">
        <f>AB21</f>
        <v>240562.87999999995</v>
      </c>
      <c r="AC8" s="37">
        <f>AB8*B8</f>
        <v>21650.659199999995</v>
      </c>
      <c r="AD8" s="36" t="s">
        <v>86</v>
      </c>
      <c r="AE8" s="11">
        <f>AE21</f>
        <v>267640.23</v>
      </c>
      <c r="AF8" s="37">
        <f>AE8*B8</f>
        <v>24087.620699999996</v>
      </c>
      <c r="AG8" s="36" t="s">
        <v>86</v>
      </c>
      <c r="AH8" s="11">
        <f>AH21</f>
        <v>296770.93999999994</v>
      </c>
      <c r="AI8" s="37">
        <f>AH8*B8</f>
        <v>26709.384599999994</v>
      </c>
      <c r="AJ8" s="36" t="s">
        <v>86</v>
      </c>
      <c r="AK8" s="11">
        <f>AK21</f>
        <v>328109.12</v>
      </c>
      <c r="AL8" s="37">
        <f>AK8*B8</f>
        <v>29529.820799999998</v>
      </c>
    </row>
    <row r="9" spans="1:41" x14ac:dyDescent="0.3">
      <c r="A9" s="31" t="s">
        <v>73</v>
      </c>
      <c r="B9" s="33">
        <v>1.6500000000000001E-2</v>
      </c>
      <c r="C9" s="36">
        <f>D31</f>
        <v>151263</v>
      </c>
      <c r="D9" s="11" t="s">
        <v>86</v>
      </c>
      <c r="E9" s="37">
        <f>D31*B9</f>
        <v>2495.8395</v>
      </c>
      <c r="F9" s="36">
        <f>G31</f>
        <v>167920.1575</v>
      </c>
      <c r="G9" s="12"/>
      <c r="H9" s="37">
        <f>G31*B9</f>
        <v>2770.6825987500001</v>
      </c>
      <c r="I9" s="36">
        <f>J31</f>
        <v>185839.13</v>
      </c>
      <c r="J9" s="11" t="s">
        <v>86</v>
      </c>
      <c r="K9" s="37">
        <f>J31*B9</f>
        <v>3066.3456450000003</v>
      </c>
      <c r="L9" s="36">
        <f>M31</f>
        <v>205114.59999999998</v>
      </c>
      <c r="M9" s="11" t="s">
        <v>86</v>
      </c>
      <c r="N9" s="37">
        <f>M31*B9</f>
        <v>3384.3908999999999</v>
      </c>
      <c r="O9" s="36">
        <f>P31</f>
        <v>225848.31000000003</v>
      </c>
      <c r="P9" s="11" t="s">
        <v>86</v>
      </c>
      <c r="Q9" s="37">
        <f>P31*B9</f>
        <v>3726.4971150000006</v>
      </c>
      <c r="R9" s="36">
        <f>S31</f>
        <v>248149.68</v>
      </c>
      <c r="S9" s="11" t="s">
        <v>86</v>
      </c>
      <c r="T9" s="37">
        <f>S31*B9</f>
        <v>4094.4697200000001</v>
      </c>
      <c r="U9" s="36">
        <f>V31</f>
        <v>272136.3</v>
      </c>
      <c r="V9" s="11" t="s">
        <v>86</v>
      </c>
      <c r="W9" s="37">
        <f>U9*B9</f>
        <v>4490.2489500000001</v>
      </c>
      <c r="X9" s="36">
        <f>Y31</f>
        <v>297934.62</v>
      </c>
      <c r="Y9" s="11" t="s">
        <v>86</v>
      </c>
      <c r="Z9" s="37">
        <f>X9*B9</f>
        <v>4915.9212299999999</v>
      </c>
      <c r="AA9" s="36">
        <f>AB31</f>
        <v>325680.52</v>
      </c>
      <c r="AB9" s="11" t="s">
        <v>86</v>
      </c>
      <c r="AC9" s="37">
        <f>AA9*B9</f>
        <v>5373.7285800000009</v>
      </c>
      <c r="AD9" s="36">
        <f>AE31</f>
        <v>355520.13</v>
      </c>
      <c r="AE9" s="11" t="s">
        <v>86</v>
      </c>
      <c r="AF9" s="37">
        <f>AD9*B9</f>
        <v>5866.0821450000003</v>
      </c>
      <c r="AG9" s="36">
        <f>AH31</f>
        <v>387610.48</v>
      </c>
      <c r="AH9" s="11" t="s">
        <v>86</v>
      </c>
      <c r="AI9" s="37">
        <f>AG9*B9</f>
        <v>6395.5729199999996</v>
      </c>
      <c r="AJ9" s="36">
        <f>AK31</f>
        <v>422120.43</v>
      </c>
      <c r="AK9" s="11" t="s">
        <v>86</v>
      </c>
      <c r="AL9" s="37">
        <f>AJ9*B9</f>
        <v>6964.9870950000004</v>
      </c>
    </row>
    <row r="10" spans="1:41" x14ac:dyDescent="0.3">
      <c r="A10" s="31" t="s">
        <v>74</v>
      </c>
      <c r="B10" s="33">
        <v>7.5999999999999998E-2</v>
      </c>
      <c r="C10" s="36">
        <f>D31</f>
        <v>151263</v>
      </c>
      <c r="D10" s="11" t="s">
        <v>86</v>
      </c>
      <c r="E10" s="37">
        <f>D31*B10</f>
        <v>11495.987999999999</v>
      </c>
      <c r="F10" s="36">
        <f>G31</f>
        <v>167920.1575</v>
      </c>
      <c r="G10" s="12"/>
      <c r="H10" s="37">
        <f>G31*B10</f>
        <v>12761.93197</v>
      </c>
      <c r="I10" s="36">
        <f>J31</f>
        <v>185839.13</v>
      </c>
      <c r="J10" s="11" t="s">
        <v>86</v>
      </c>
      <c r="K10" s="37">
        <f>J31*B10</f>
        <v>14123.773880000001</v>
      </c>
      <c r="L10" s="36">
        <f>M31</f>
        <v>205114.59999999998</v>
      </c>
      <c r="M10" s="11" t="s">
        <v>86</v>
      </c>
      <c r="N10" s="37">
        <f>M31*B10</f>
        <v>15588.709599999998</v>
      </c>
      <c r="O10" s="36">
        <f>P31</f>
        <v>225848.31000000003</v>
      </c>
      <c r="P10" s="11" t="s">
        <v>86</v>
      </c>
      <c r="Q10" s="37">
        <f>P31*B10</f>
        <v>17164.471560000002</v>
      </c>
      <c r="R10" s="36">
        <f>S31</f>
        <v>248149.68</v>
      </c>
      <c r="S10" s="11" t="s">
        <v>86</v>
      </c>
      <c r="T10" s="37">
        <f>S31*B10</f>
        <v>18859.375679999997</v>
      </c>
      <c r="U10" s="36">
        <f>V31</f>
        <v>272136.3</v>
      </c>
      <c r="V10" s="11" t="s">
        <v>86</v>
      </c>
      <c r="W10" s="37">
        <f>U10*B10</f>
        <v>20682.358799999998</v>
      </c>
      <c r="X10" s="36">
        <f>Y31</f>
        <v>297934.62</v>
      </c>
      <c r="Y10" s="11" t="s">
        <v>86</v>
      </c>
      <c r="Z10" s="37">
        <f>X10*B10</f>
        <v>22643.03112</v>
      </c>
      <c r="AA10" s="36">
        <f>AB31</f>
        <v>325680.52</v>
      </c>
      <c r="AB10" s="11" t="s">
        <v>86</v>
      </c>
      <c r="AC10" s="37">
        <f>AA10*B10</f>
        <v>24751.719520000002</v>
      </c>
      <c r="AD10" s="36">
        <f>AE31</f>
        <v>355520.13</v>
      </c>
      <c r="AE10" s="11" t="s">
        <v>86</v>
      </c>
      <c r="AF10" s="37">
        <f>AD10*B10</f>
        <v>27019.529879999998</v>
      </c>
      <c r="AG10" s="36">
        <f>AH31</f>
        <v>387610.48</v>
      </c>
      <c r="AH10" s="11" t="s">
        <v>86</v>
      </c>
      <c r="AI10" s="37">
        <f>AG10*B10</f>
        <v>29458.396479999999</v>
      </c>
      <c r="AJ10" s="36">
        <f>AK31</f>
        <v>422120.43</v>
      </c>
      <c r="AK10" s="11" t="s">
        <v>86</v>
      </c>
      <c r="AL10" s="37">
        <f>AJ10*B10</f>
        <v>32081.152679999999</v>
      </c>
    </row>
    <row r="11" spans="1:41" ht="15" thickBot="1" x14ac:dyDescent="0.35">
      <c r="A11" s="34" t="s">
        <v>75</v>
      </c>
      <c r="B11" s="35">
        <v>0.05</v>
      </c>
      <c r="C11" s="38">
        <v>224400</v>
      </c>
      <c r="D11" s="39" t="s">
        <v>86</v>
      </c>
      <c r="E11" s="40">
        <f>C11*B11</f>
        <v>11220</v>
      </c>
      <c r="F11" s="38">
        <f>G18</f>
        <v>241230</v>
      </c>
      <c r="G11" s="41"/>
      <c r="H11" s="40">
        <f>F11*B11</f>
        <v>12061.5</v>
      </c>
      <c r="I11" s="38">
        <f>J18</f>
        <v>259322.25</v>
      </c>
      <c r="J11" s="39" t="s">
        <v>86</v>
      </c>
      <c r="K11" s="40">
        <f>I11*B11</f>
        <v>12966.112500000001</v>
      </c>
      <c r="L11" s="38">
        <f>M18</f>
        <v>278771.42</v>
      </c>
      <c r="M11" s="39" t="s">
        <v>86</v>
      </c>
      <c r="N11" s="40">
        <f>L11*B11</f>
        <v>13938.571</v>
      </c>
      <c r="O11" s="38">
        <f>P18</f>
        <v>299679.28000000003</v>
      </c>
      <c r="P11" s="39" t="s">
        <v>86</v>
      </c>
      <c r="Q11" s="40">
        <f>O11*B11</f>
        <v>14983.964000000002</v>
      </c>
      <c r="R11" s="38">
        <f>S18</f>
        <v>322155.21999999997</v>
      </c>
      <c r="S11" s="39" t="s">
        <v>86</v>
      </c>
      <c r="T11" s="40">
        <f>R11*B11</f>
        <v>16107.760999999999</v>
      </c>
      <c r="U11" s="38">
        <f>V18</f>
        <v>346316.86</v>
      </c>
      <c r="V11" s="39" t="s">
        <v>86</v>
      </c>
      <c r="W11" s="40">
        <f>U11*B11</f>
        <v>17315.843000000001</v>
      </c>
      <c r="X11" s="38">
        <f>Y18</f>
        <v>372290.63</v>
      </c>
      <c r="Y11" s="39" t="s">
        <v>86</v>
      </c>
      <c r="Z11" s="40">
        <f>X11*B11</f>
        <v>18614.531500000001</v>
      </c>
      <c r="AA11" s="38">
        <f>AB18</f>
        <v>400212.42</v>
      </c>
      <c r="AB11" s="39" t="s">
        <v>86</v>
      </c>
      <c r="AC11" s="40">
        <f>AA11*B11</f>
        <v>20010.620999999999</v>
      </c>
      <c r="AD11" s="38">
        <f>AE18</f>
        <v>430228.36</v>
      </c>
      <c r="AE11" s="39" t="s">
        <v>86</v>
      </c>
      <c r="AF11" s="40">
        <f>AD11*B11</f>
        <v>21511.418000000001</v>
      </c>
      <c r="AG11" s="38">
        <f>AH18</f>
        <v>462495.48</v>
      </c>
      <c r="AH11" s="39" t="s">
        <v>86</v>
      </c>
      <c r="AI11" s="40">
        <f>AG11*B11</f>
        <v>23124.774000000001</v>
      </c>
      <c r="AJ11" s="38">
        <f>AK18</f>
        <v>497182.64</v>
      </c>
      <c r="AK11" s="39" t="s">
        <v>86</v>
      </c>
      <c r="AL11" s="40">
        <f>AJ11*B11</f>
        <v>24859.132000000001</v>
      </c>
    </row>
    <row r="12" spans="1:41" ht="15" thickBot="1" x14ac:dyDescent="0.35">
      <c r="B12" s="1"/>
      <c r="C12" s="1"/>
      <c r="D12" s="1"/>
      <c r="E12" s="42">
        <f>SUM(E7:E11)</f>
        <v>51602.730100000001</v>
      </c>
      <c r="F12" s="43"/>
      <c r="G12" s="43"/>
      <c r="H12" s="42">
        <f>SUM(H7:H11)</f>
        <v>58796.507820749997</v>
      </c>
      <c r="I12" s="43"/>
      <c r="J12" s="43"/>
      <c r="K12" s="42">
        <f>SUM(K7:K11)</f>
        <v>66867.520225</v>
      </c>
      <c r="L12" s="43"/>
      <c r="M12" s="43"/>
      <c r="N12" s="42">
        <f>SUM(N7:N11)</f>
        <v>75552.569899999988</v>
      </c>
      <c r="O12" s="43"/>
      <c r="P12" s="43"/>
      <c r="Q12" s="42">
        <f>SUM(Q7:Q11)</f>
        <v>84897.722875000007</v>
      </c>
      <c r="R12" s="43"/>
      <c r="S12" s="43"/>
      <c r="T12" s="42">
        <f>SUM(T7:T11)</f>
        <v>94952.518999999971</v>
      </c>
      <c r="U12" s="43"/>
      <c r="V12" s="43"/>
      <c r="W12" s="42">
        <f>SUM(W7:W11)</f>
        <v>105770.19154999999</v>
      </c>
      <c r="X12" s="43"/>
      <c r="Y12" s="43"/>
      <c r="Z12" s="42">
        <f>SUM(Z7:Z11)</f>
        <v>117407.99805000001</v>
      </c>
      <c r="AA12" s="43"/>
      <c r="AB12" s="43"/>
      <c r="AC12" s="42">
        <f>SUM(AC7:AC11)</f>
        <v>129927.44829999997</v>
      </c>
      <c r="AD12" s="43"/>
      <c r="AE12" s="43"/>
      <c r="AF12" s="42">
        <f>SUM(AF7:AF11)</f>
        <v>143394.70822499998</v>
      </c>
      <c r="AG12" s="43"/>
      <c r="AH12" s="43"/>
      <c r="AI12" s="42">
        <f>SUM(AI7:AI11)</f>
        <v>157880.86299999998</v>
      </c>
      <c r="AJ12" s="43"/>
      <c r="AK12" s="43"/>
      <c r="AL12" s="42">
        <f>SUM(AL7:AL11)</f>
        <v>173462.37257500002</v>
      </c>
    </row>
    <row r="13" spans="1:41" ht="15" thickBot="1" x14ac:dyDescent="0.35">
      <c r="G13" s="51" t="s">
        <v>91</v>
      </c>
      <c r="H13" s="50">
        <f>(H12-E12)/E12*1</f>
        <v>0.13940692104486146</v>
      </c>
      <c r="J13" s="51" t="s">
        <v>91</v>
      </c>
      <c r="K13" s="50">
        <f>(K12-H12)/H12*1</f>
        <v>0.13727026831007888</v>
      </c>
      <c r="M13" s="51" t="s">
        <v>91</v>
      </c>
      <c r="N13" s="50">
        <f>(N12-K12)/K12*1</f>
        <v>0.12988442887931229</v>
      </c>
      <c r="P13" s="51" t="s">
        <v>91</v>
      </c>
      <c r="Q13" s="50">
        <f>(Q12-N12)/N12*1</f>
        <v>0.12369073596529005</v>
      </c>
      <c r="S13" s="51" t="s">
        <v>91</v>
      </c>
      <c r="T13" s="50">
        <f>(T12-Q12)/Q12*1</f>
        <v>0.11843422631964159</v>
      </c>
      <c r="V13" s="51" t="s">
        <v>91</v>
      </c>
      <c r="W13" s="50">
        <f>(W12-T12)/T12*1</f>
        <v>0.11392717817207167</v>
      </c>
      <c r="Y13" s="51" t="s">
        <v>91</v>
      </c>
      <c r="Z13" s="50">
        <f>(Z12-W12)/W12*1</f>
        <v>0.1100291710684722</v>
      </c>
      <c r="AB13" s="51" t="s">
        <v>91</v>
      </c>
      <c r="AC13" s="50">
        <f>(AC12-Z12)/Z12*1</f>
        <v>0.10663200512684293</v>
      </c>
      <c r="AE13" s="51" t="s">
        <v>91</v>
      </c>
      <c r="AF13" s="50">
        <f>(AF12-AC12)/AC12*1</f>
        <v>0.10365215434620376</v>
      </c>
      <c r="AH13" s="51" t="s">
        <v>91</v>
      </c>
      <c r="AI13" s="50">
        <f>(AI12-AF12)/AF12*1</f>
        <v>0.10102293839372262</v>
      </c>
      <c r="AK13" s="51" t="s">
        <v>91</v>
      </c>
      <c r="AL13" s="50">
        <f>(AL12-AI12)/AI12*1</f>
        <v>9.8691565772604337E-2</v>
      </c>
      <c r="AN13" s="52" t="s">
        <v>92</v>
      </c>
      <c r="AO13" s="53">
        <f>(H13+K13+N13+Q13+T13+W13+Z13+AC13+AF13+AI13+AL13)/11*1</f>
        <v>0.11660378121810017</v>
      </c>
    </row>
    <row r="14" spans="1:41" x14ac:dyDescent="0.3">
      <c r="G14" s="1"/>
      <c r="H14" s="1"/>
      <c r="J14" s="1"/>
      <c r="K14" s="1"/>
      <c r="M14" s="1"/>
      <c r="N14" s="1"/>
      <c r="P14" s="1"/>
      <c r="Q14" s="1"/>
      <c r="S14" s="1"/>
      <c r="T14" s="1"/>
      <c r="V14" s="1"/>
      <c r="W14" s="1"/>
      <c r="Y14" s="1"/>
      <c r="Z14" s="1"/>
      <c r="AB14" s="1"/>
      <c r="AC14" s="1"/>
      <c r="AE14" s="1"/>
      <c r="AF14" s="1"/>
      <c r="AH14" s="1"/>
      <c r="AI14" s="1"/>
    </row>
    <row r="16" spans="1:41" ht="14.4" customHeight="1" thickBot="1" x14ac:dyDescent="0.35">
      <c r="B16" s="25"/>
      <c r="C16" s="21"/>
      <c r="D16" s="2"/>
      <c r="E16" s="2"/>
    </row>
    <row r="17" spans="1:38" ht="14.4" customHeight="1" x14ac:dyDescent="0.3">
      <c r="A17" s="210" t="s">
        <v>81</v>
      </c>
      <c r="B17" s="211"/>
      <c r="C17" s="216" t="s">
        <v>4</v>
      </c>
      <c r="D17" s="217"/>
      <c r="E17" s="218"/>
      <c r="F17" s="216" t="s">
        <v>19</v>
      </c>
      <c r="G17" s="217"/>
      <c r="H17" s="218"/>
      <c r="I17" s="216" t="s">
        <v>20</v>
      </c>
      <c r="J17" s="217"/>
      <c r="K17" s="218"/>
      <c r="L17" s="216" t="s">
        <v>21</v>
      </c>
      <c r="M17" s="217"/>
      <c r="N17" s="218"/>
      <c r="O17" s="216" t="s">
        <v>22</v>
      </c>
      <c r="P17" s="217"/>
      <c r="Q17" s="218"/>
      <c r="R17" s="216" t="s">
        <v>23</v>
      </c>
      <c r="S17" s="217"/>
      <c r="T17" s="218"/>
      <c r="U17" s="216" t="s">
        <v>24</v>
      </c>
      <c r="V17" s="217"/>
      <c r="W17" s="218"/>
      <c r="X17" s="216" t="s">
        <v>25</v>
      </c>
      <c r="Y17" s="217"/>
      <c r="Z17" s="218"/>
      <c r="AA17" s="216" t="s">
        <v>26</v>
      </c>
      <c r="AB17" s="217"/>
      <c r="AC17" s="218"/>
      <c r="AD17" s="216" t="s">
        <v>27</v>
      </c>
      <c r="AE17" s="217"/>
      <c r="AF17" s="218"/>
      <c r="AG17" s="219" t="s">
        <v>28</v>
      </c>
      <c r="AH17" s="220"/>
      <c r="AI17" s="221"/>
      <c r="AJ17" s="219" t="s">
        <v>30</v>
      </c>
      <c r="AK17" s="220"/>
      <c r="AL17" s="221"/>
    </row>
    <row r="18" spans="1:38" ht="14.4" customHeight="1" x14ac:dyDescent="0.3">
      <c r="A18" s="212"/>
      <c r="B18" s="213"/>
      <c r="C18" s="47" t="s">
        <v>5</v>
      </c>
      <c r="D18" s="226">
        <v>224400</v>
      </c>
      <c r="E18" s="227"/>
      <c r="F18" s="47" t="s">
        <v>5</v>
      </c>
      <c r="G18" s="226">
        <f>'[1]FAT E CUSTO VARIÁVEL'!E14</f>
        <v>241230</v>
      </c>
      <c r="H18" s="227"/>
      <c r="I18" s="47" t="s">
        <v>5</v>
      </c>
      <c r="J18" s="226">
        <v>259322.25</v>
      </c>
      <c r="K18" s="227"/>
      <c r="L18" s="47" t="s">
        <v>5</v>
      </c>
      <c r="M18" s="226">
        <v>278771.42</v>
      </c>
      <c r="N18" s="227"/>
      <c r="O18" s="47" t="s">
        <v>5</v>
      </c>
      <c r="P18" s="226">
        <v>299679.28000000003</v>
      </c>
      <c r="Q18" s="227"/>
      <c r="R18" s="47" t="s">
        <v>5</v>
      </c>
      <c r="S18" s="226">
        <v>322155.21999999997</v>
      </c>
      <c r="T18" s="227"/>
      <c r="U18" s="47" t="s">
        <v>5</v>
      </c>
      <c r="V18" s="226">
        <v>346316.86</v>
      </c>
      <c r="W18" s="227"/>
      <c r="X18" s="47" t="s">
        <v>5</v>
      </c>
      <c r="Y18" s="226">
        <v>372290.63</v>
      </c>
      <c r="Z18" s="227"/>
      <c r="AA18" s="47" t="s">
        <v>5</v>
      </c>
      <c r="AB18" s="226">
        <v>400212.42</v>
      </c>
      <c r="AC18" s="227"/>
      <c r="AD18" s="47" t="s">
        <v>5</v>
      </c>
      <c r="AE18" s="226">
        <v>430228.36</v>
      </c>
      <c r="AF18" s="227"/>
      <c r="AG18" s="47" t="s">
        <v>5</v>
      </c>
      <c r="AH18" s="226">
        <v>462495.48</v>
      </c>
      <c r="AI18" s="227"/>
      <c r="AJ18" s="47" t="s">
        <v>5</v>
      </c>
      <c r="AK18" s="226">
        <v>497182.64</v>
      </c>
      <c r="AL18" s="227"/>
    </row>
    <row r="19" spans="1:38" ht="14.4" customHeight="1" x14ac:dyDescent="0.3">
      <c r="A19" s="212"/>
      <c r="B19" s="213"/>
      <c r="C19" s="47" t="s">
        <v>78</v>
      </c>
      <c r="D19" s="226">
        <f>'[2]FAT E CUSTO VARIÁVEL'!I7</f>
        <v>19639.84</v>
      </c>
      <c r="E19" s="227"/>
      <c r="F19" s="47" t="s">
        <v>78</v>
      </c>
      <c r="G19" s="226">
        <f>'[2]FAT E CUSTO VARIÁVEL'!I14</f>
        <v>21112.828000000001</v>
      </c>
      <c r="H19" s="227"/>
      <c r="I19" s="47" t="s">
        <v>78</v>
      </c>
      <c r="J19" s="226">
        <v>22696.29</v>
      </c>
      <c r="K19" s="227"/>
      <c r="L19" s="47" t="s">
        <v>78</v>
      </c>
      <c r="M19" s="226">
        <v>24398.51</v>
      </c>
      <c r="N19" s="227"/>
      <c r="O19" s="47" t="s">
        <v>78</v>
      </c>
      <c r="P19" s="226">
        <v>26228.400000000001</v>
      </c>
      <c r="Q19" s="227"/>
      <c r="R19" s="47" t="s">
        <v>78</v>
      </c>
      <c r="S19" s="226">
        <v>28195.53</v>
      </c>
      <c r="T19" s="227"/>
      <c r="U19" s="47" t="s">
        <v>78</v>
      </c>
      <c r="V19" s="226">
        <v>30310.2</v>
      </c>
      <c r="W19" s="227"/>
      <c r="X19" s="47" t="s">
        <v>78</v>
      </c>
      <c r="Y19" s="226">
        <v>32583.46</v>
      </c>
      <c r="Z19" s="227"/>
      <c r="AA19" s="47" t="s">
        <v>78</v>
      </c>
      <c r="AB19" s="226">
        <v>35027.22</v>
      </c>
      <c r="AC19" s="227"/>
      <c r="AD19" s="47" t="s">
        <v>78</v>
      </c>
      <c r="AE19" s="226">
        <v>37654.26</v>
      </c>
      <c r="AF19" s="227"/>
      <c r="AG19" s="47" t="s">
        <v>78</v>
      </c>
      <c r="AH19" s="226">
        <v>40478.33</v>
      </c>
      <c r="AI19" s="227"/>
      <c r="AJ19" s="47" t="s">
        <v>78</v>
      </c>
      <c r="AK19" s="226">
        <v>43514.2</v>
      </c>
      <c r="AL19" s="227"/>
    </row>
    <row r="20" spans="1:38" ht="14.4" customHeight="1" x14ac:dyDescent="0.3">
      <c r="A20" s="212"/>
      <c r="B20" s="213"/>
      <c r="C20" s="47" t="s">
        <v>79</v>
      </c>
      <c r="D20" s="228">
        <f>'CUSTOS FIXOS'!B27</f>
        <v>122157.68</v>
      </c>
      <c r="E20" s="229"/>
      <c r="F20" s="47" t="s">
        <v>79</v>
      </c>
      <c r="G20" s="228">
        <f>'CUSTOS FIXOS'!C27</f>
        <v>122463.07419999999</v>
      </c>
      <c r="H20" s="229"/>
      <c r="I20" s="47" t="s">
        <v>79</v>
      </c>
      <c r="J20" s="228">
        <v>122769.23</v>
      </c>
      <c r="K20" s="229"/>
      <c r="L20" s="47" t="s">
        <v>79</v>
      </c>
      <c r="M20" s="228">
        <v>123076.15</v>
      </c>
      <c r="N20" s="229"/>
      <c r="O20" s="47" t="s">
        <v>79</v>
      </c>
      <c r="P20" s="228">
        <v>123383.85</v>
      </c>
      <c r="Q20" s="229"/>
      <c r="R20" s="47" t="s">
        <v>79</v>
      </c>
      <c r="S20" s="228">
        <v>123692.3</v>
      </c>
      <c r="T20" s="229"/>
      <c r="U20" s="47" t="s">
        <v>79</v>
      </c>
      <c r="V20" s="228">
        <v>124001.54</v>
      </c>
      <c r="W20" s="229"/>
      <c r="X20" s="47" t="s">
        <v>79</v>
      </c>
      <c r="Y20" s="228">
        <v>124311.54</v>
      </c>
      <c r="Z20" s="229"/>
      <c r="AA20" s="47" t="s">
        <v>79</v>
      </c>
      <c r="AB20" s="228">
        <v>124622.32</v>
      </c>
      <c r="AC20" s="229"/>
      <c r="AD20" s="47" t="s">
        <v>79</v>
      </c>
      <c r="AE20" s="228">
        <v>124933.87</v>
      </c>
      <c r="AF20" s="229"/>
      <c r="AG20" s="47" t="s">
        <v>79</v>
      </c>
      <c r="AH20" s="228">
        <v>125246.21</v>
      </c>
      <c r="AI20" s="229"/>
      <c r="AJ20" s="47" t="s">
        <v>79</v>
      </c>
      <c r="AK20" s="228">
        <v>125559.32</v>
      </c>
      <c r="AL20" s="229"/>
    </row>
    <row r="21" spans="1:38" ht="14.4" customHeight="1" thickBot="1" x14ac:dyDescent="0.35">
      <c r="A21" s="214"/>
      <c r="B21" s="215"/>
      <c r="C21" s="48" t="s">
        <v>80</v>
      </c>
      <c r="D21" s="230">
        <f>D18-D19-D20</f>
        <v>82602.48000000001</v>
      </c>
      <c r="E21" s="231"/>
      <c r="F21" s="48" t="s">
        <v>80</v>
      </c>
      <c r="G21" s="230">
        <f>G18-G19-G20</f>
        <v>97654.097800000003</v>
      </c>
      <c r="H21" s="231"/>
      <c r="I21" s="48" t="s">
        <v>80</v>
      </c>
      <c r="J21" s="230">
        <f>J18-J19-J20</f>
        <v>113856.73</v>
      </c>
      <c r="K21" s="231"/>
      <c r="L21" s="48" t="s">
        <v>80</v>
      </c>
      <c r="M21" s="230">
        <f>M18-M19-M20</f>
        <v>131296.75999999998</v>
      </c>
      <c r="N21" s="231"/>
      <c r="O21" s="48" t="s">
        <v>80</v>
      </c>
      <c r="P21" s="230">
        <f>P18-P19-P20</f>
        <v>150067.03</v>
      </c>
      <c r="Q21" s="231"/>
      <c r="R21" s="48" t="s">
        <v>80</v>
      </c>
      <c r="S21" s="230">
        <f>S18-S19-S20</f>
        <v>170267.38999999996</v>
      </c>
      <c r="T21" s="231"/>
      <c r="U21" s="48" t="s">
        <v>80</v>
      </c>
      <c r="V21" s="230">
        <f>V18-V19-V20</f>
        <v>192005.12</v>
      </c>
      <c r="W21" s="231"/>
      <c r="X21" s="48" t="s">
        <v>80</v>
      </c>
      <c r="Y21" s="230">
        <f>Y18-Y19-Y20</f>
        <v>215395.63</v>
      </c>
      <c r="Z21" s="231"/>
      <c r="AA21" s="48" t="s">
        <v>80</v>
      </c>
      <c r="AB21" s="230">
        <f>AB18-AB19-AB20</f>
        <v>240562.87999999995</v>
      </c>
      <c r="AC21" s="231"/>
      <c r="AD21" s="48" t="s">
        <v>80</v>
      </c>
      <c r="AE21" s="230">
        <f>AE18-AE19-AE20</f>
        <v>267640.23</v>
      </c>
      <c r="AF21" s="231"/>
      <c r="AG21" s="48" t="s">
        <v>80</v>
      </c>
      <c r="AH21" s="230">
        <f>AH18-AH19-AH20</f>
        <v>296770.93999999994</v>
      </c>
      <c r="AI21" s="231"/>
      <c r="AJ21" s="48" t="s">
        <v>80</v>
      </c>
      <c r="AK21" s="230">
        <f>AK18-AK19-AK20</f>
        <v>328109.12</v>
      </c>
      <c r="AL21" s="231"/>
    </row>
    <row r="22" spans="1:38" ht="14.4" customHeight="1" thickBot="1" x14ac:dyDescent="0.35">
      <c r="A22" s="15"/>
      <c r="B22" s="15"/>
      <c r="C22" s="20"/>
      <c r="D22" s="2"/>
      <c r="E22" s="2"/>
    </row>
    <row r="23" spans="1:38" ht="14.4" customHeight="1" thickBot="1" x14ac:dyDescent="0.35">
      <c r="A23" s="232" t="s">
        <v>83</v>
      </c>
      <c r="B23" s="233"/>
      <c r="C23" s="23"/>
      <c r="D23" s="23"/>
      <c r="E23" s="23"/>
    </row>
    <row r="24" spans="1:38" ht="14.4" customHeight="1" x14ac:dyDescent="0.3">
      <c r="A24" s="222" t="s">
        <v>84</v>
      </c>
      <c r="B24" s="223"/>
      <c r="C24" s="23"/>
      <c r="D24" s="23"/>
      <c r="E24" s="23"/>
    </row>
    <row r="25" spans="1:38" ht="14.4" customHeight="1" thickBot="1" x14ac:dyDescent="0.35">
      <c r="A25" s="224"/>
      <c r="B25" s="225"/>
      <c r="C25" s="22"/>
      <c r="D25" s="22"/>
      <c r="E25" s="22"/>
    </row>
    <row r="26" spans="1:38" ht="14.4" customHeight="1" x14ac:dyDescent="0.3">
      <c r="A26" s="2"/>
      <c r="B26" s="2"/>
      <c r="C26" s="22"/>
      <c r="D26" s="22"/>
      <c r="E26" s="22"/>
    </row>
    <row r="27" spans="1:38" ht="14.4" customHeight="1" thickBot="1" x14ac:dyDescent="0.35">
      <c r="B27" s="25"/>
      <c r="C27" s="2"/>
      <c r="D27" s="2"/>
      <c r="E27" s="2"/>
    </row>
    <row r="28" spans="1:38" ht="14.4" customHeight="1" x14ac:dyDescent="0.3">
      <c r="A28" s="210" t="s">
        <v>82</v>
      </c>
      <c r="B28" s="211"/>
      <c r="C28" s="216" t="s">
        <v>4</v>
      </c>
      <c r="D28" s="217"/>
      <c r="E28" s="218"/>
      <c r="F28" s="216" t="s">
        <v>19</v>
      </c>
      <c r="G28" s="217"/>
      <c r="H28" s="218"/>
      <c r="I28" s="216" t="s">
        <v>20</v>
      </c>
      <c r="J28" s="217"/>
      <c r="K28" s="218"/>
      <c r="L28" s="216" t="s">
        <v>21</v>
      </c>
      <c r="M28" s="217"/>
      <c r="N28" s="218"/>
      <c r="O28" s="216" t="s">
        <v>22</v>
      </c>
      <c r="P28" s="217"/>
      <c r="Q28" s="218"/>
      <c r="R28" s="216" t="s">
        <v>23</v>
      </c>
      <c r="S28" s="217"/>
      <c r="T28" s="218"/>
      <c r="U28" s="216" t="s">
        <v>24</v>
      </c>
      <c r="V28" s="217"/>
      <c r="W28" s="218"/>
      <c r="X28" s="216" t="s">
        <v>25</v>
      </c>
      <c r="Y28" s="217"/>
      <c r="Z28" s="218"/>
      <c r="AA28" s="216" t="s">
        <v>26</v>
      </c>
      <c r="AB28" s="217"/>
      <c r="AC28" s="218"/>
      <c r="AD28" s="216" t="s">
        <v>27</v>
      </c>
      <c r="AE28" s="217"/>
      <c r="AF28" s="218"/>
      <c r="AG28" s="219" t="s">
        <v>28</v>
      </c>
      <c r="AH28" s="220"/>
      <c r="AI28" s="221"/>
      <c r="AJ28" s="219" t="s">
        <v>30</v>
      </c>
      <c r="AK28" s="220"/>
      <c r="AL28" s="221"/>
    </row>
    <row r="29" spans="1:38" ht="14.4" customHeight="1" x14ac:dyDescent="0.3">
      <c r="A29" s="212"/>
      <c r="B29" s="213"/>
      <c r="C29" s="47" t="s">
        <v>5</v>
      </c>
      <c r="D29" s="234">
        <f>D18</f>
        <v>224400</v>
      </c>
      <c r="E29" s="235"/>
      <c r="F29" s="47" t="s">
        <v>5</v>
      </c>
      <c r="G29" s="234">
        <f>G18</f>
        <v>241230</v>
      </c>
      <c r="H29" s="235"/>
      <c r="I29" s="47" t="s">
        <v>5</v>
      </c>
      <c r="J29" s="234">
        <f>J18</f>
        <v>259322.25</v>
      </c>
      <c r="K29" s="235"/>
      <c r="L29" s="47" t="s">
        <v>5</v>
      </c>
      <c r="M29" s="234">
        <f>M18</f>
        <v>278771.42</v>
      </c>
      <c r="N29" s="235"/>
      <c r="O29" s="47" t="s">
        <v>5</v>
      </c>
      <c r="P29" s="234">
        <f>P18</f>
        <v>299679.28000000003</v>
      </c>
      <c r="Q29" s="235"/>
      <c r="R29" s="47" t="s">
        <v>5</v>
      </c>
      <c r="S29" s="234">
        <f>S18</f>
        <v>322155.21999999997</v>
      </c>
      <c r="T29" s="235"/>
      <c r="U29" s="47" t="s">
        <v>5</v>
      </c>
      <c r="V29" s="234">
        <f>V18</f>
        <v>346316.86</v>
      </c>
      <c r="W29" s="235"/>
      <c r="X29" s="47" t="s">
        <v>5</v>
      </c>
      <c r="Y29" s="234">
        <f>Y18</f>
        <v>372290.63</v>
      </c>
      <c r="Z29" s="235"/>
      <c r="AA29" s="47" t="s">
        <v>5</v>
      </c>
      <c r="AB29" s="234">
        <f>AB18</f>
        <v>400212.42</v>
      </c>
      <c r="AC29" s="235"/>
      <c r="AD29" s="47" t="s">
        <v>5</v>
      </c>
      <c r="AE29" s="234">
        <f>AE18</f>
        <v>430228.36</v>
      </c>
      <c r="AF29" s="235"/>
      <c r="AG29" s="47" t="s">
        <v>5</v>
      </c>
      <c r="AH29" s="234">
        <f>AH18</f>
        <v>462495.48</v>
      </c>
      <c r="AI29" s="235"/>
      <c r="AJ29" s="47" t="s">
        <v>5</v>
      </c>
      <c r="AK29" s="234">
        <f>AK18</f>
        <v>497182.64</v>
      </c>
      <c r="AL29" s="235"/>
    </row>
    <row r="30" spans="1:38" ht="14.4" customHeight="1" x14ac:dyDescent="0.3">
      <c r="A30" s="212"/>
      <c r="B30" s="213"/>
      <c r="C30" s="49" t="s">
        <v>87</v>
      </c>
      <c r="D30" s="234">
        <f>'CUSTOS FIXOS'!B47</f>
        <v>73137</v>
      </c>
      <c r="E30" s="235"/>
      <c r="F30" s="49" t="s">
        <v>87</v>
      </c>
      <c r="G30" s="234">
        <f>'CUSTOS FIXOS'!C47</f>
        <v>73309.842499999999</v>
      </c>
      <c r="H30" s="235"/>
      <c r="I30" s="49" t="s">
        <v>87</v>
      </c>
      <c r="J30" s="234">
        <v>73483.12</v>
      </c>
      <c r="K30" s="235"/>
      <c r="L30" s="49" t="s">
        <v>87</v>
      </c>
      <c r="M30" s="234">
        <v>73656.820000000007</v>
      </c>
      <c r="N30" s="235"/>
      <c r="O30" s="49" t="s">
        <v>87</v>
      </c>
      <c r="P30" s="234">
        <v>73830.97</v>
      </c>
      <c r="Q30" s="235"/>
      <c r="R30" s="49" t="s">
        <v>87</v>
      </c>
      <c r="S30" s="234">
        <v>74005.539999999994</v>
      </c>
      <c r="T30" s="235"/>
      <c r="U30" s="49" t="s">
        <v>87</v>
      </c>
      <c r="V30" s="234">
        <v>74180.56</v>
      </c>
      <c r="W30" s="235"/>
      <c r="X30" s="49" t="s">
        <v>87</v>
      </c>
      <c r="Y30" s="234">
        <v>74356.009999999995</v>
      </c>
      <c r="Z30" s="235"/>
      <c r="AA30" s="49" t="s">
        <v>87</v>
      </c>
      <c r="AB30" s="234">
        <v>74531.899999999994</v>
      </c>
      <c r="AC30" s="235"/>
      <c r="AD30" s="49" t="s">
        <v>87</v>
      </c>
      <c r="AE30" s="234">
        <v>74708.23</v>
      </c>
      <c r="AF30" s="235"/>
      <c r="AG30" s="49" t="s">
        <v>87</v>
      </c>
      <c r="AH30" s="234">
        <v>74885</v>
      </c>
      <c r="AI30" s="235"/>
      <c r="AJ30" s="49" t="s">
        <v>87</v>
      </c>
      <c r="AK30" s="234">
        <v>75062.210000000006</v>
      </c>
      <c r="AL30" s="235"/>
    </row>
    <row r="31" spans="1:38" ht="14.4" customHeight="1" thickBot="1" x14ac:dyDescent="0.35">
      <c r="A31" s="214"/>
      <c r="B31" s="215"/>
      <c r="C31" s="48" t="s">
        <v>88</v>
      </c>
      <c r="D31" s="236">
        <f>D29-D30</f>
        <v>151263</v>
      </c>
      <c r="E31" s="237"/>
      <c r="F31" s="48" t="s">
        <v>88</v>
      </c>
      <c r="G31" s="236">
        <f>G29-G30</f>
        <v>167920.1575</v>
      </c>
      <c r="H31" s="237"/>
      <c r="I31" s="48" t="s">
        <v>88</v>
      </c>
      <c r="J31" s="236">
        <f>J29-J30</f>
        <v>185839.13</v>
      </c>
      <c r="K31" s="237"/>
      <c r="L31" s="48" t="s">
        <v>88</v>
      </c>
      <c r="M31" s="236">
        <f>M29-M30</f>
        <v>205114.59999999998</v>
      </c>
      <c r="N31" s="237"/>
      <c r="O31" s="48" t="s">
        <v>88</v>
      </c>
      <c r="P31" s="236">
        <f>P29-P30</f>
        <v>225848.31000000003</v>
      </c>
      <c r="Q31" s="237"/>
      <c r="R31" s="48" t="s">
        <v>88</v>
      </c>
      <c r="S31" s="236">
        <f>S29-S30</f>
        <v>248149.68</v>
      </c>
      <c r="T31" s="237"/>
      <c r="U31" s="48" t="s">
        <v>88</v>
      </c>
      <c r="V31" s="236">
        <f>V29-V30</f>
        <v>272136.3</v>
      </c>
      <c r="W31" s="237"/>
      <c r="X31" s="48" t="s">
        <v>88</v>
      </c>
      <c r="Y31" s="236">
        <f>Y29-Y30</f>
        <v>297934.62</v>
      </c>
      <c r="Z31" s="237"/>
      <c r="AA31" s="48" t="s">
        <v>88</v>
      </c>
      <c r="AB31" s="236">
        <f>AB29-AB30</f>
        <v>325680.52</v>
      </c>
      <c r="AC31" s="237"/>
      <c r="AD31" s="48" t="s">
        <v>88</v>
      </c>
      <c r="AE31" s="236">
        <f>AE29-AE30</f>
        <v>355520.13</v>
      </c>
      <c r="AF31" s="237"/>
      <c r="AG31" s="48" t="s">
        <v>88</v>
      </c>
      <c r="AH31" s="236">
        <f>AH29-AH30</f>
        <v>387610.48</v>
      </c>
      <c r="AI31" s="237"/>
      <c r="AJ31" s="48" t="s">
        <v>88</v>
      </c>
      <c r="AK31" s="236">
        <f>AK29-AK30</f>
        <v>422120.43</v>
      </c>
      <c r="AL31" s="237"/>
    </row>
    <row r="32" spans="1:38" ht="14.4" customHeight="1" x14ac:dyDescent="0.3"/>
    <row r="33" spans="1:4" ht="14.4" customHeight="1" thickBot="1" x14ac:dyDescent="0.35"/>
    <row r="34" spans="1:4" ht="14.4" customHeight="1" x14ac:dyDescent="0.3">
      <c r="A34" s="247" t="s">
        <v>90</v>
      </c>
      <c r="B34" s="248"/>
      <c r="C34" s="249">
        <f>E12+H12+K12+N12+Q12+T12+W12+Z12+AC12+AF12+AI12+AL12</f>
        <v>1260513.1516207498</v>
      </c>
      <c r="D34" s="250"/>
    </row>
    <row r="35" spans="1:4" ht="14.4" customHeight="1" x14ac:dyDescent="0.3">
      <c r="A35" s="238"/>
      <c r="B35" s="239"/>
      <c r="C35" s="244"/>
      <c r="D35" s="243"/>
    </row>
    <row r="36" spans="1:4" x14ac:dyDescent="0.3">
      <c r="A36" s="238" t="s">
        <v>93</v>
      </c>
      <c r="B36" s="239"/>
      <c r="C36" s="242">
        <v>1493695.32</v>
      </c>
      <c r="D36" s="243"/>
    </row>
    <row r="37" spans="1:4" x14ac:dyDescent="0.3">
      <c r="A37" s="238"/>
      <c r="B37" s="239"/>
      <c r="C37" s="244"/>
      <c r="D37" s="243"/>
    </row>
    <row r="38" spans="1:4" x14ac:dyDescent="0.3">
      <c r="A38" s="238" t="s">
        <v>94</v>
      </c>
      <c r="B38" s="239"/>
      <c r="C38" s="242">
        <v>2269412.62</v>
      </c>
      <c r="D38" s="243"/>
    </row>
    <row r="39" spans="1:4" x14ac:dyDescent="0.3">
      <c r="A39" s="238"/>
      <c r="B39" s="239"/>
      <c r="C39" s="244"/>
      <c r="D39" s="243"/>
    </row>
    <row r="40" spans="1:4" x14ac:dyDescent="0.3">
      <c r="A40" s="238" t="s">
        <v>95</v>
      </c>
      <c r="B40" s="239"/>
      <c r="C40" s="242">
        <v>3380649.66</v>
      </c>
      <c r="D40" s="243"/>
    </row>
    <row r="41" spans="1:4" x14ac:dyDescent="0.3">
      <c r="A41" s="238"/>
      <c r="B41" s="239"/>
      <c r="C41" s="244"/>
      <c r="D41" s="243"/>
    </row>
    <row r="42" spans="1:4" x14ac:dyDescent="0.3">
      <c r="A42" s="238" t="s">
        <v>96</v>
      </c>
      <c r="B42" s="239"/>
      <c r="C42" s="242">
        <v>4970235.8899999997</v>
      </c>
      <c r="D42" s="243"/>
    </row>
    <row r="43" spans="1:4" ht="15" thickBot="1" x14ac:dyDescent="0.35">
      <c r="A43" s="240"/>
      <c r="B43" s="241"/>
      <c r="C43" s="245"/>
      <c r="D43" s="246"/>
    </row>
  </sheetData>
  <mergeCells count="136">
    <mergeCell ref="A36:B37"/>
    <mergeCell ref="A38:B39"/>
    <mergeCell ref="A40:B41"/>
    <mergeCell ref="A42:B43"/>
    <mergeCell ref="C36:D37"/>
    <mergeCell ref="C38:D39"/>
    <mergeCell ref="C40:D41"/>
    <mergeCell ref="C42:D43"/>
    <mergeCell ref="AJ28:AL28"/>
    <mergeCell ref="AK29:AL29"/>
    <mergeCell ref="AK30:AL30"/>
    <mergeCell ref="AK31:AL31"/>
    <mergeCell ref="A34:B35"/>
    <mergeCell ref="C34:D35"/>
    <mergeCell ref="AG28:AI28"/>
    <mergeCell ref="AH29:AI29"/>
    <mergeCell ref="AH30:AI30"/>
    <mergeCell ref="AH31:AI31"/>
    <mergeCell ref="AE31:AF31"/>
    <mergeCell ref="AA28:AC28"/>
    <mergeCell ref="AB29:AC29"/>
    <mergeCell ref="AB30:AC30"/>
    <mergeCell ref="AB31:AC31"/>
    <mergeCell ref="X28:Z28"/>
    <mergeCell ref="AD28:AF28"/>
    <mergeCell ref="AE29:AF29"/>
    <mergeCell ref="AE30:AF30"/>
    <mergeCell ref="AG5:AI5"/>
    <mergeCell ref="AG17:AI17"/>
    <mergeCell ref="AH18:AI18"/>
    <mergeCell ref="AH19:AI19"/>
    <mergeCell ref="AH20:AI20"/>
    <mergeCell ref="AH21:AI21"/>
    <mergeCell ref="AD5:AF5"/>
    <mergeCell ref="AD17:AF17"/>
    <mergeCell ref="AE18:AF18"/>
    <mergeCell ref="AE19:AF19"/>
    <mergeCell ref="AE20:AF20"/>
    <mergeCell ref="AE21:AF21"/>
    <mergeCell ref="AA5:AC5"/>
    <mergeCell ref="AA17:AC17"/>
    <mergeCell ref="AB18:AC18"/>
    <mergeCell ref="AB19:AC19"/>
    <mergeCell ref="AB20:AC20"/>
    <mergeCell ref="AB21:AC21"/>
    <mergeCell ref="AJ5:AL5"/>
    <mergeCell ref="AJ17:AL17"/>
    <mergeCell ref="AK18:AL18"/>
    <mergeCell ref="AK19:AL19"/>
    <mergeCell ref="AK20:AL20"/>
    <mergeCell ref="AK21:AL21"/>
    <mergeCell ref="X5:Z5"/>
    <mergeCell ref="X17:Z17"/>
    <mergeCell ref="Y18:Z18"/>
    <mergeCell ref="Y19:Z19"/>
    <mergeCell ref="Y20:Z20"/>
    <mergeCell ref="Y21:Z21"/>
    <mergeCell ref="Y29:Z29"/>
    <mergeCell ref="Y30:Z30"/>
    <mergeCell ref="Y31:Z31"/>
    <mergeCell ref="S31:T31"/>
    <mergeCell ref="U5:W5"/>
    <mergeCell ref="U17:W17"/>
    <mergeCell ref="V18:W18"/>
    <mergeCell ref="V19:W19"/>
    <mergeCell ref="V20:W20"/>
    <mergeCell ref="V21:W21"/>
    <mergeCell ref="U28:W28"/>
    <mergeCell ref="V29:W29"/>
    <mergeCell ref="V30:W30"/>
    <mergeCell ref="V31:W31"/>
    <mergeCell ref="R5:T5"/>
    <mergeCell ref="R17:T17"/>
    <mergeCell ref="S18:T18"/>
    <mergeCell ref="S19:T19"/>
    <mergeCell ref="S20:T20"/>
    <mergeCell ref="S21:T21"/>
    <mergeCell ref="R28:T28"/>
    <mergeCell ref="S29:T29"/>
    <mergeCell ref="S30:T30"/>
    <mergeCell ref="L28:N28"/>
    <mergeCell ref="M29:N29"/>
    <mergeCell ref="M30:N30"/>
    <mergeCell ref="M31:N31"/>
    <mergeCell ref="O5:Q5"/>
    <mergeCell ref="O17:Q17"/>
    <mergeCell ref="P18:Q18"/>
    <mergeCell ref="P19:Q19"/>
    <mergeCell ref="P20:Q20"/>
    <mergeCell ref="P21:Q21"/>
    <mergeCell ref="L5:N5"/>
    <mergeCell ref="L17:N17"/>
    <mergeCell ref="M18:N18"/>
    <mergeCell ref="M19:N19"/>
    <mergeCell ref="M20:N20"/>
    <mergeCell ref="M21:N21"/>
    <mergeCell ref="O28:Q28"/>
    <mergeCell ref="P29:Q29"/>
    <mergeCell ref="P30:Q30"/>
    <mergeCell ref="P31:Q31"/>
    <mergeCell ref="I5:K5"/>
    <mergeCell ref="I28:K28"/>
    <mergeCell ref="J29:K29"/>
    <mergeCell ref="J30:K30"/>
    <mergeCell ref="J31:K31"/>
    <mergeCell ref="G21:H21"/>
    <mergeCell ref="I17:K17"/>
    <mergeCell ref="J18:K18"/>
    <mergeCell ref="J19:K19"/>
    <mergeCell ref="J20:K20"/>
    <mergeCell ref="J21:K21"/>
    <mergeCell ref="F17:H17"/>
    <mergeCell ref="G18:H18"/>
    <mergeCell ref="G19:H19"/>
    <mergeCell ref="G20:H20"/>
    <mergeCell ref="D29:E29"/>
    <mergeCell ref="D30:E30"/>
    <mergeCell ref="D31:E31"/>
    <mergeCell ref="F5:H5"/>
    <mergeCell ref="F28:H28"/>
    <mergeCell ref="G29:H29"/>
    <mergeCell ref="G30:H30"/>
    <mergeCell ref="G31:H31"/>
    <mergeCell ref="A2:A3"/>
    <mergeCell ref="A5:B5"/>
    <mergeCell ref="A17:B21"/>
    <mergeCell ref="C28:E28"/>
    <mergeCell ref="A28:B31"/>
    <mergeCell ref="C5:E5"/>
    <mergeCell ref="A24:B25"/>
    <mergeCell ref="D18:E18"/>
    <mergeCell ref="D19:E19"/>
    <mergeCell ref="D20:E20"/>
    <mergeCell ref="D21:E21"/>
    <mergeCell ref="A23:B23"/>
    <mergeCell ref="C17:E17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5AD1-1283-4BE0-A301-F843CC95D021}">
  <dimension ref="A1:D32"/>
  <sheetViews>
    <sheetView zoomScale="90" zoomScaleNormal="90" workbookViewId="0">
      <selection activeCell="B24" sqref="B24"/>
    </sheetView>
  </sheetViews>
  <sheetFormatPr defaultRowHeight="14.4" x14ac:dyDescent="0.3"/>
  <cols>
    <col min="1" max="1" width="27.77734375" bestFit="1" customWidth="1"/>
    <col min="2" max="3" width="15.77734375" bestFit="1" customWidth="1"/>
    <col min="4" max="4" width="15.21875" customWidth="1"/>
  </cols>
  <sheetData>
    <row r="1" spans="1:4" ht="15" thickBot="1" x14ac:dyDescent="0.35"/>
    <row r="2" spans="1:4" x14ac:dyDescent="0.3">
      <c r="A2" s="182" t="s">
        <v>3</v>
      </c>
    </row>
    <row r="3" spans="1:4" ht="15" thickBot="1" x14ac:dyDescent="0.35">
      <c r="A3" s="183"/>
    </row>
    <row r="4" spans="1:4" ht="15" thickBot="1" x14ac:dyDescent="0.35"/>
    <row r="5" spans="1:4" ht="15" thickBot="1" x14ac:dyDescent="0.35">
      <c r="A5" s="148" t="s">
        <v>41</v>
      </c>
      <c r="B5" s="149" t="s">
        <v>4</v>
      </c>
      <c r="C5" s="150" t="s">
        <v>99</v>
      </c>
      <c r="D5" s="151" t="s">
        <v>98</v>
      </c>
    </row>
    <row r="6" spans="1:4" x14ac:dyDescent="0.3">
      <c r="A6" s="144" t="s">
        <v>97</v>
      </c>
      <c r="B6" s="145">
        <f>IMPOSTOS!D18</f>
        <v>224400</v>
      </c>
      <c r="C6" s="146">
        <f>'FAT E CUSTO VARIÁVEL'!E90</f>
        <v>4134284.5602875729</v>
      </c>
      <c r="D6" s="147">
        <v>1</v>
      </c>
    </row>
    <row r="7" spans="1:4" x14ac:dyDescent="0.3">
      <c r="A7" s="124"/>
      <c r="B7" s="125"/>
      <c r="C7" s="141"/>
      <c r="D7" s="126"/>
    </row>
    <row r="8" spans="1:4" x14ac:dyDescent="0.3">
      <c r="A8" s="127" t="s">
        <v>78</v>
      </c>
      <c r="B8" s="138">
        <f>IMPOSTOS!D19</f>
        <v>19639.84</v>
      </c>
      <c r="C8" s="142">
        <f>'FAT E CUSTO VARIÁVEL'!I90</f>
        <v>361839.06986861979</v>
      </c>
      <c r="D8" s="128">
        <f>(C8/C6)*1</f>
        <v>8.7521568627450974E-2</v>
      </c>
    </row>
    <row r="9" spans="1:4" x14ac:dyDescent="0.3">
      <c r="A9" s="127" t="s">
        <v>100</v>
      </c>
      <c r="B9" s="138">
        <f>IMPOSTOS!E12</f>
        <v>51602.730100000001</v>
      </c>
      <c r="C9" s="142">
        <f>IMPOSTOS!C34</f>
        <v>1260513.1516207498</v>
      </c>
      <c r="D9" s="128">
        <f>(C9/C6)*1</f>
        <v>0.30489269261452845</v>
      </c>
    </row>
    <row r="10" spans="1:4" x14ac:dyDescent="0.3">
      <c r="A10" s="122" t="s">
        <v>101</v>
      </c>
      <c r="B10" s="137">
        <f>B8+B9</f>
        <v>71242.570099999997</v>
      </c>
      <c r="C10" s="140">
        <f>C8+C9</f>
        <v>1622352.2214893696</v>
      </c>
      <c r="D10" s="123">
        <f>(C10/C6)*1</f>
        <v>0.39241426124197942</v>
      </c>
    </row>
    <row r="11" spans="1:4" x14ac:dyDescent="0.3">
      <c r="A11" s="124"/>
      <c r="B11" s="125"/>
      <c r="C11" s="141"/>
      <c r="D11" s="126"/>
    </row>
    <row r="12" spans="1:4" x14ac:dyDescent="0.3">
      <c r="A12" s="127" t="s">
        <v>102</v>
      </c>
      <c r="B12" s="138">
        <f>B6-B10</f>
        <v>153157.42989999999</v>
      </c>
      <c r="C12" s="142">
        <f>C6-C10</f>
        <v>2511932.3387982035</v>
      </c>
      <c r="D12" s="128">
        <f>D6-D10</f>
        <v>0.60758573875802058</v>
      </c>
    </row>
    <row r="13" spans="1:4" x14ac:dyDescent="0.3">
      <c r="A13" s="122" t="s">
        <v>103</v>
      </c>
      <c r="B13" s="137">
        <f>IMPOSTOS!D20</f>
        <v>122157.68</v>
      </c>
      <c r="C13" s="140">
        <f>'CUSTOS FIXOS'!B29</f>
        <v>1486217.0926136055</v>
      </c>
      <c r="D13" s="123">
        <f>(C13/C6)*1</f>
        <v>0.35948592094740262</v>
      </c>
    </row>
    <row r="14" spans="1:4" x14ac:dyDescent="0.3">
      <c r="A14" s="124"/>
      <c r="B14" s="125"/>
      <c r="C14" s="141"/>
      <c r="D14" s="126"/>
    </row>
    <row r="15" spans="1:4" ht="15" thickBot="1" x14ac:dyDescent="0.35">
      <c r="A15" s="129" t="s">
        <v>104</v>
      </c>
      <c r="B15" s="139">
        <f>B12-B13</f>
        <v>30999.749899999995</v>
      </c>
      <c r="C15" s="143">
        <f>C12-C13</f>
        <v>1025715.246184598</v>
      </c>
      <c r="D15" s="130">
        <f>(C15/C6)*1</f>
        <v>0.24809981781061805</v>
      </c>
    </row>
    <row r="16" spans="1:4" x14ac:dyDescent="0.3">
      <c r="A16" s="1"/>
    </row>
    <row r="17" spans="1:4" ht="15" thickBot="1" x14ac:dyDescent="0.35">
      <c r="A17" s="1"/>
    </row>
    <row r="18" spans="1:4" x14ac:dyDescent="0.3">
      <c r="A18" s="251" t="s">
        <v>105</v>
      </c>
      <c r="B18" s="252"/>
      <c r="C18" s="252"/>
      <c r="D18" s="253"/>
    </row>
    <row r="19" spans="1:4" x14ac:dyDescent="0.3">
      <c r="A19" s="131" t="s">
        <v>4</v>
      </c>
      <c r="B19" s="55">
        <f>B15</f>
        <v>30999.749899999995</v>
      </c>
      <c r="C19" s="54" t="s">
        <v>24</v>
      </c>
      <c r="D19" s="70">
        <v>86234.92</v>
      </c>
    </row>
    <row r="20" spans="1:4" x14ac:dyDescent="0.3">
      <c r="A20" s="131" t="s">
        <v>19</v>
      </c>
      <c r="B20" s="55">
        <v>38857.589999999997</v>
      </c>
      <c r="C20" s="54" t="s">
        <v>25</v>
      </c>
      <c r="D20" s="70">
        <v>97987.63</v>
      </c>
    </row>
    <row r="21" spans="1:4" x14ac:dyDescent="0.3">
      <c r="A21" s="131" t="s">
        <v>20</v>
      </c>
      <c r="B21" s="55">
        <v>46989.21</v>
      </c>
      <c r="C21" s="54" t="s">
        <v>26</v>
      </c>
      <c r="D21" s="70">
        <v>110635.43</v>
      </c>
    </row>
    <row r="22" spans="1:4" x14ac:dyDescent="0.3">
      <c r="A22" s="131" t="s">
        <v>21</v>
      </c>
      <c r="B22" s="55">
        <v>55744.19</v>
      </c>
      <c r="C22" s="54" t="s">
        <v>27</v>
      </c>
      <c r="D22" s="70">
        <v>124245.52</v>
      </c>
    </row>
    <row r="23" spans="1:4" x14ac:dyDescent="0.3">
      <c r="A23" s="131" t="s">
        <v>22</v>
      </c>
      <c r="B23" s="55">
        <v>65169.31</v>
      </c>
      <c r="C23" s="54" t="s">
        <v>28</v>
      </c>
      <c r="D23" s="70">
        <v>138890.07999999999</v>
      </c>
    </row>
    <row r="24" spans="1:4" x14ac:dyDescent="0.3">
      <c r="A24" s="131" t="s">
        <v>23</v>
      </c>
      <c r="B24" s="55">
        <v>75314.87</v>
      </c>
      <c r="C24" s="54" t="s">
        <v>30</v>
      </c>
      <c r="D24" s="70">
        <v>154646.75</v>
      </c>
    </row>
    <row r="25" spans="1:4" x14ac:dyDescent="0.3">
      <c r="A25" s="124"/>
      <c r="D25" s="133"/>
    </row>
    <row r="26" spans="1:4" ht="15" thickBot="1" x14ac:dyDescent="0.35">
      <c r="A26" s="129" t="s">
        <v>62</v>
      </c>
      <c r="B26" s="134">
        <f>B19+B20+B21+B22+B23+B24+D19+D20+D21+D22+D23+D24</f>
        <v>1025715.2498999999</v>
      </c>
      <c r="C26" s="135"/>
      <c r="D26" s="136"/>
    </row>
    <row r="27" spans="1:4" ht="15" thickBot="1" x14ac:dyDescent="0.35"/>
    <row r="28" spans="1:4" x14ac:dyDescent="0.3">
      <c r="A28" s="251" t="s">
        <v>106</v>
      </c>
      <c r="B28" s="253"/>
    </row>
    <row r="29" spans="1:4" x14ac:dyDescent="0.3">
      <c r="A29" s="131" t="s">
        <v>107</v>
      </c>
      <c r="B29" s="81">
        <v>2336373.73</v>
      </c>
    </row>
    <row r="30" spans="1:4" x14ac:dyDescent="0.3">
      <c r="A30" s="131" t="s">
        <v>108</v>
      </c>
      <c r="B30" s="81">
        <v>3783517.1</v>
      </c>
    </row>
    <row r="31" spans="1:4" x14ac:dyDescent="0.3">
      <c r="A31" s="131" t="s">
        <v>109</v>
      </c>
      <c r="B31" s="81">
        <v>5863659.7699999996</v>
      </c>
      <c r="D31" s="1"/>
    </row>
    <row r="32" spans="1:4" ht="15" thickBot="1" x14ac:dyDescent="0.35">
      <c r="A32" s="132" t="s">
        <v>110</v>
      </c>
      <c r="B32" s="82">
        <v>8846545</v>
      </c>
    </row>
  </sheetData>
  <mergeCells count="3">
    <mergeCell ref="A2:A3"/>
    <mergeCell ref="A18:D18"/>
    <mergeCell ref="A28:B28"/>
  </mergeCells>
  <phoneticPr fontId="13" type="noConversion"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87D05-FE7B-4B9D-A604-B157E5C10EEB}">
  <dimension ref="A1:Q22"/>
  <sheetViews>
    <sheetView tabSelected="1" workbookViewId="0">
      <selection activeCell="K21" sqref="K21"/>
    </sheetView>
  </sheetViews>
  <sheetFormatPr defaultRowHeight="14.4" x14ac:dyDescent="0.3"/>
  <cols>
    <col min="1" max="1" width="22.6640625" bestFit="1" customWidth="1"/>
    <col min="2" max="13" width="12.77734375" customWidth="1"/>
  </cols>
  <sheetData>
    <row r="1" spans="1:17" x14ac:dyDescent="0.3">
      <c r="A1" s="262" t="s">
        <v>111</v>
      </c>
      <c r="B1" s="263"/>
      <c r="C1" s="264"/>
    </row>
    <row r="2" spans="1:17" ht="15" thickBot="1" x14ac:dyDescent="0.35">
      <c r="A2" s="265"/>
      <c r="B2" s="266"/>
      <c r="C2" s="267"/>
    </row>
    <row r="3" spans="1:17" ht="15" thickBot="1" x14ac:dyDescent="0.35"/>
    <row r="4" spans="1:17" ht="15" thickBot="1" x14ac:dyDescent="0.35">
      <c r="A4" s="268" t="s">
        <v>41</v>
      </c>
      <c r="B4" s="269"/>
      <c r="C4" s="269"/>
      <c r="D4" s="168" t="s">
        <v>99</v>
      </c>
      <c r="E4" s="169" t="s">
        <v>143</v>
      </c>
      <c r="F4" s="168" t="s">
        <v>107</v>
      </c>
      <c r="G4" s="169" t="s">
        <v>143</v>
      </c>
      <c r="H4" s="168" t="s">
        <v>108</v>
      </c>
      <c r="I4" s="169" t="s">
        <v>143</v>
      </c>
      <c r="J4" s="168" t="s">
        <v>109</v>
      </c>
      <c r="K4" s="169" t="s">
        <v>143</v>
      </c>
      <c r="L4" s="168" t="s">
        <v>110</v>
      </c>
      <c r="M4" s="170" t="s">
        <v>143</v>
      </c>
      <c r="N4" s="1"/>
      <c r="O4" s="1"/>
      <c r="P4" s="1"/>
      <c r="Q4" s="1"/>
    </row>
    <row r="5" spans="1:17" x14ac:dyDescent="0.3">
      <c r="A5" s="270" t="s">
        <v>112</v>
      </c>
      <c r="B5" s="271"/>
      <c r="C5" s="271"/>
      <c r="D5" s="8">
        <v>1628769.55</v>
      </c>
      <c r="E5" s="8">
        <v>259047.44</v>
      </c>
      <c r="F5" s="8">
        <v>3554981.77</v>
      </c>
      <c r="G5" s="8">
        <v>296248.48</v>
      </c>
      <c r="H5" s="8">
        <v>4611664.49</v>
      </c>
      <c r="I5" s="8">
        <v>384305.37</v>
      </c>
      <c r="J5" s="8">
        <v>6099473.9900000002</v>
      </c>
      <c r="K5" s="8">
        <v>508289.5</v>
      </c>
      <c r="L5" s="8">
        <v>8200920.6100000003</v>
      </c>
      <c r="M5" s="83">
        <v>683410.05</v>
      </c>
      <c r="N5" s="1"/>
      <c r="O5" s="1"/>
      <c r="P5" s="1"/>
      <c r="Q5" s="1"/>
    </row>
    <row r="6" spans="1:17" x14ac:dyDescent="0.3">
      <c r="A6" s="272" t="s">
        <v>113</v>
      </c>
      <c r="B6" s="273"/>
      <c r="C6" s="273"/>
      <c r="D6" s="17">
        <v>0.24809999999999999</v>
      </c>
      <c r="E6" s="17" t="s">
        <v>86</v>
      </c>
      <c r="F6" s="17">
        <v>0.39660000000000001</v>
      </c>
      <c r="G6" s="17" t="s">
        <v>86</v>
      </c>
      <c r="H6" s="17">
        <v>0.45069999999999999</v>
      </c>
      <c r="I6" s="17" t="s">
        <v>86</v>
      </c>
      <c r="J6" s="17">
        <v>0.49009999999999998</v>
      </c>
      <c r="K6" s="17" t="s">
        <v>86</v>
      </c>
      <c r="L6" s="17">
        <v>0.51890000000000003</v>
      </c>
      <c r="M6" s="62" t="s">
        <v>86</v>
      </c>
      <c r="N6" s="1"/>
      <c r="O6" s="1"/>
      <c r="P6" s="1"/>
      <c r="Q6" s="1"/>
    </row>
    <row r="7" spans="1:17" ht="15" thickBot="1" x14ac:dyDescent="0.35">
      <c r="A7" s="274" t="s">
        <v>114</v>
      </c>
      <c r="B7" s="275"/>
      <c r="C7" s="275"/>
      <c r="D7" s="171">
        <v>2.5868000000000002</v>
      </c>
      <c r="E7" s="171" t="s">
        <v>86</v>
      </c>
      <c r="F7" s="171">
        <v>5.9135</v>
      </c>
      <c r="G7" s="171" t="s">
        <v>86</v>
      </c>
      <c r="H7" s="171">
        <v>9.5542999999999996</v>
      </c>
      <c r="I7" s="171" t="s">
        <v>86</v>
      </c>
      <c r="J7" s="171">
        <v>14.829800000000001</v>
      </c>
      <c r="K7" s="171" t="s">
        <v>86</v>
      </c>
      <c r="L7" s="171">
        <v>22.378900000000002</v>
      </c>
      <c r="M7" s="64" t="s">
        <v>86</v>
      </c>
      <c r="N7" s="1"/>
      <c r="O7" s="1"/>
      <c r="P7" s="1"/>
      <c r="Q7" s="1"/>
    </row>
    <row r="8" spans="1:17" ht="15" thickBot="1" x14ac:dyDescent="0.35">
      <c r="A8" s="276" t="s">
        <v>115</v>
      </c>
      <c r="B8" s="277"/>
      <c r="C8" s="277"/>
      <c r="D8" s="172" t="s">
        <v>116</v>
      </c>
      <c r="E8" s="16"/>
      <c r="F8" s="16"/>
      <c r="G8" s="16"/>
      <c r="H8" s="16"/>
      <c r="I8" s="16"/>
      <c r="J8" s="16"/>
      <c r="K8" s="16"/>
      <c r="L8" s="16"/>
      <c r="M8" s="16"/>
      <c r="N8" s="1"/>
      <c r="O8" s="1"/>
      <c r="P8" s="1"/>
      <c r="Q8" s="1"/>
    </row>
    <row r="9" spans="1:17" x14ac:dyDescent="0.3">
      <c r="A9" s="1"/>
      <c r="B9" s="1"/>
      <c r="C9" s="1"/>
      <c r="D9" s="16"/>
      <c r="E9" s="16"/>
      <c r="F9" s="16"/>
      <c r="G9" s="16"/>
      <c r="H9" s="16"/>
      <c r="I9" s="16"/>
      <c r="J9" s="16"/>
      <c r="K9" s="16"/>
      <c r="L9" s="16"/>
      <c r="M9" s="16"/>
      <c r="N9" s="1"/>
      <c r="O9" s="1"/>
      <c r="P9" s="1"/>
      <c r="Q9" s="1"/>
    </row>
    <row r="10" spans="1:17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" thickBo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5" thickBot="1" x14ac:dyDescent="0.35">
      <c r="A12" s="254" t="s">
        <v>117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" thickBot="1" x14ac:dyDescent="0.35">
      <c r="A13" s="255"/>
      <c r="B13" s="256" t="s">
        <v>120</v>
      </c>
      <c r="C13" s="257"/>
      <c r="D13" s="258" t="s">
        <v>118</v>
      </c>
      <c r="E13" s="259"/>
      <c r="F13" s="260" t="s">
        <v>119</v>
      </c>
      <c r="G13" s="26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" thickBot="1" x14ac:dyDescent="0.35">
      <c r="A14" s="163" t="s">
        <v>41</v>
      </c>
      <c r="B14" s="164" t="s">
        <v>4</v>
      </c>
      <c r="C14" s="165" t="s">
        <v>144</v>
      </c>
      <c r="D14" s="166">
        <v>0.2</v>
      </c>
      <c r="E14" s="165" t="s">
        <v>144</v>
      </c>
      <c r="F14" s="167">
        <v>0.1</v>
      </c>
      <c r="G14" s="165" t="s">
        <v>144</v>
      </c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3">
      <c r="A15" s="159" t="s">
        <v>97</v>
      </c>
      <c r="B15" s="160">
        <v>224400</v>
      </c>
      <c r="C15" s="161">
        <v>1</v>
      </c>
      <c r="D15" s="162">
        <v>179520</v>
      </c>
      <c r="E15" s="161">
        <v>1</v>
      </c>
      <c r="F15" s="160">
        <v>246840</v>
      </c>
      <c r="G15" s="161">
        <v>1</v>
      </c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">
      <c r="A16" s="59" t="s">
        <v>78</v>
      </c>
      <c r="B16" s="36">
        <v>19639.84</v>
      </c>
      <c r="C16" s="62">
        <v>8.7499999999999994E-2</v>
      </c>
      <c r="D16" s="26">
        <v>15711.71</v>
      </c>
      <c r="E16" s="62">
        <v>8.7499999999999994E-2</v>
      </c>
      <c r="F16" s="36">
        <v>21603.82</v>
      </c>
      <c r="G16" s="62">
        <v>8.7499999999999994E-2</v>
      </c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3">
      <c r="A17" s="59" t="s">
        <v>100</v>
      </c>
      <c r="B17" s="36">
        <v>51602.73</v>
      </c>
      <c r="C17" s="62">
        <v>0.23</v>
      </c>
      <c r="D17" s="26">
        <v>41282.19</v>
      </c>
      <c r="E17" s="62">
        <v>0.23</v>
      </c>
      <c r="F17" s="36">
        <v>56763</v>
      </c>
      <c r="G17" s="62">
        <v>0.23</v>
      </c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3">
      <c r="A18" s="58" t="s">
        <v>101</v>
      </c>
      <c r="B18" s="61">
        <f>B16+B17</f>
        <v>71242.570000000007</v>
      </c>
      <c r="C18" s="63">
        <v>0.3175</v>
      </c>
      <c r="D18" s="60">
        <f>D16+D17</f>
        <v>56993.9</v>
      </c>
      <c r="E18" s="63">
        <v>0.3175</v>
      </c>
      <c r="F18" s="61">
        <f>F16+F17</f>
        <v>78366.820000000007</v>
      </c>
      <c r="G18" s="63">
        <v>0.3175</v>
      </c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3">
      <c r="A19" s="59" t="s">
        <v>102</v>
      </c>
      <c r="B19" s="36">
        <f t="shared" ref="B19:G19" si="0">B15-B18</f>
        <v>153157.43</v>
      </c>
      <c r="C19" s="62">
        <f t="shared" si="0"/>
        <v>0.6825</v>
      </c>
      <c r="D19" s="26">
        <f t="shared" si="0"/>
        <v>122526.1</v>
      </c>
      <c r="E19" s="62">
        <f t="shared" si="0"/>
        <v>0.6825</v>
      </c>
      <c r="F19" s="36">
        <f t="shared" si="0"/>
        <v>168473.18</v>
      </c>
      <c r="G19" s="62">
        <f t="shared" si="0"/>
        <v>0.6825</v>
      </c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" thickBot="1" x14ac:dyDescent="0.35">
      <c r="A20" s="152" t="s">
        <v>103</v>
      </c>
      <c r="B20" s="153">
        <v>122157.68</v>
      </c>
      <c r="C20" s="154">
        <v>0.5444</v>
      </c>
      <c r="D20" s="156">
        <v>122157.68</v>
      </c>
      <c r="E20" s="154">
        <v>0.68049999999999999</v>
      </c>
      <c r="F20" s="153">
        <v>122157.68</v>
      </c>
      <c r="G20" s="154">
        <v>0.49490000000000001</v>
      </c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" thickBot="1" x14ac:dyDescent="0.35">
      <c r="A21" s="155" t="s">
        <v>104</v>
      </c>
      <c r="B21" s="157">
        <f>B19-B20</f>
        <v>30999.75</v>
      </c>
      <c r="C21" s="158">
        <f>C15-C18-C20</f>
        <v>0.1381</v>
      </c>
      <c r="D21" s="157">
        <f>D15-D18-D20</f>
        <v>368.42000000001281</v>
      </c>
      <c r="E21" s="158">
        <f>E15-E18-E20</f>
        <v>2.0000000000000018E-3</v>
      </c>
      <c r="F21" s="157">
        <f>F15-F18-F20</f>
        <v>46315.5</v>
      </c>
      <c r="G21" s="158">
        <f>G15-G18-G20</f>
        <v>0.18759999999999999</v>
      </c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</sheetData>
  <mergeCells count="10">
    <mergeCell ref="A12:A13"/>
    <mergeCell ref="B13:C13"/>
    <mergeCell ref="D13:E13"/>
    <mergeCell ref="F13:G13"/>
    <mergeCell ref="A1:C2"/>
    <mergeCell ref="A4:C4"/>
    <mergeCell ref="A5:C5"/>
    <mergeCell ref="A6:C6"/>
    <mergeCell ref="A7:C7"/>
    <mergeCell ref="A8:C8"/>
  </mergeCells>
  <phoneticPr fontId="13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FAT E CUSTO VARIÁVEL</vt:lpstr>
      <vt:lpstr>FOLHA</vt:lpstr>
      <vt:lpstr>CUSTOS FIXOS</vt:lpstr>
      <vt:lpstr>IMPOSTOS</vt:lpstr>
      <vt:lpstr>RESULTADOS</vt:lpstr>
      <vt:lpstr>VIABILIDADE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VAZ</dc:creator>
  <cp:lastModifiedBy>THIAGO VAZ</cp:lastModifiedBy>
  <dcterms:created xsi:type="dcterms:W3CDTF">2024-09-06T23:45:39Z</dcterms:created>
  <dcterms:modified xsi:type="dcterms:W3CDTF">2024-09-10T14:04:21Z</dcterms:modified>
</cp:coreProperties>
</file>