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ILESERVER01.tel.local\SuporteN2_SEBRAE$\Manu Conceição\5456 - PROMOÇÕES\"/>
    </mc:Choice>
  </mc:AlternateContent>
  <bookViews>
    <workbookView xWindow="0" yWindow="0" windowWidth="28800" windowHeight="12225"/>
  </bookViews>
  <sheets>
    <sheet name="Início" sheetId="2" r:id="rId1"/>
    <sheet name="JUL-AGO" sheetId="7" r:id="rId2"/>
    <sheet name="SET-OUT" sheetId="3" r:id="rId3"/>
    <sheet name="NOV-DEZ" sheetId="4" r:id="rId4"/>
  </sheets>
  <definedNames>
    <definedName name="_xlnm._FilterDatabase" localSheetId="1" hidden="1">'JUL-AGO'!$F$14:$H$35</definedName>
    <definedName name="AbrDom1" localSheetId="1">DATE('JUL-AGO'!AnoDoCalendário,4,1)-WEEKDAY(DATE('JUL-AGO'!AnoDoCalendário,4,1))</definedName>
    <definedName name="AbrDom1" localSheetId="3">DATE('NOV-DEZ'!AnoDoCalendário,4,1)-WEEKDAY(DATE('NOV-DEZ'!AnoDoCalendário,4,1))</definedName>
    <definedName name="AbrDom1" localSheetId="2">DATE('SET-OUT'!AnoDoCalendário,4,1)-WEEKDAY(DATE('SET-OUT'!AnoDoCalendário,4,1))</definedName>
    <definedName name="AbrDom1">DATE(AnoDoCalendário,4,1)-WEEKDAY(DATE(AnoDoCalendário,4,1))</definedName>
    <definedName name="AgoDom1" localSheetId="1">DATE('JUL-AGO'!AnoDoCalendário,8,1)-WEEKDAY(DATE('JUL-AGO'!AnoDoCalendário,8,1))</definedName>
    <definedName name="AgoDom1" localSheetId="3">DATE('NOV-DEZ'!AnoDoCalendário,8,1)-WEEKDAY(DATE('NOV-DEZ'!AnoDoCalendário,8,1))</definedName>
    <definedName name="AgoDom1" localSheetId="2">DATE('SET-OUT'!AnoDoCalendário,8,1)-WEEKDAY(DATE('SET-OUT'!AnoDoCalendário,8,1))</definedName>
    <definedName name="AgoDom1">DATE(AnoDoCalendário,8,1)-WEEKDAY(DATE(AnoDoCalendário,8,1))</definedName>
    <definedName name="AnoDoCalendário" localSheetId="1">'JUL-AGO'!$B$1</definedName>
    <definedName name="AnoDoCalendário" localSheetId="3">'NOV-DEZ'!$C$1</definedName>
    <definedName name="AnoDoCalendário" localSheetId="2">'SET-OUT'!$B$1</definedName>
    <definedName name="AnoDoCalendário">#REF!</definedName>
    <definedName name="_xlnm.Print_Area" localSheetId="1">'JUL-AGO'!$B$1:$W$20</definedName>
    <definedName name="_xlnm.Print_Area" localSheetId="3">'NOV-DEZ'!$B$1:$W$11</definedName>
    <definedName name="_xlnm.Print_Area" localSheetId="2">'SET-OUT'!$B$1:$W$20</definedName>
    <definedName name="DezDom1" localSheetId="1">DATE('JUL-AGO'!AnoDoCalendário,12,1)-WEEKDAY(DATE('JUL-AGO'!AnoDoCalendário,12,1))</definedName>
    <definedName name="DezDom1" localSheetId="3">DATE('NOV-DEZ'!AnoDoCalendário,12,1)-WEEKDAY(DATE('NOV-DEZ'!AnoDoCalendário,12,1))</definedName>
    <definedName name="DezDom1" localSheetId="2">DATE('SET-OUT'!AnoDoCalendário,12,1)-WEEKDAY(DATE('SET-OUT'!AnoDoCalendário,12,1))</definedName>
    <definedName name="DezDom1">DATE(AnoDoCalendário,12,1)-WEEKDAY(DATE(AnoDoCalendário,12,1))</definedName>
    <definedName name="FevDom1" localSheetId="1">DATE('JUL-AGO'!AnoDoCalendário,2,1)-WEEKDAY(DATE('JUL-AGO'!AnoDoCalendário,2,1))</definedName>
    <definedName name="FevDom1" localSheetId="3">DATE('NOV-DEZ'!AnoDoCalendário,2,1)-WEEKDAY(DATE('NOV-DEZ'!AnoDoCalendário,2,1))</definedName>
    <definedName name="FevDom1" localSheetId="2">DATE('SET-OUT'!AnoDoCalendário,2,1)-WEEKDAY(DATE('SET-OUT'!AnoDoCalendário,2,1))</definedName>
    <definedName name="FevDom1">DATE(AnoDoCalendário,2,1)-WEEKDAY(DATE(AnoDoCalendário,2,1))</definedName>
    <definedName name="JanDom1" localSheetId="1">DATE('JUL-AGO'!AnoDoCalendário,1,1)-WEEKDAY(DATE('JUL-AGO'!AnoDoCalendário,1,1))</definedName>
    <definedName name="JanDom1" localSheetId="3">DATE('NOV-DEZ'!AnoDoCalendário,1,1)-WEEKDAY(DATE('NOV-DEZ'!AnoDoCalendário,1,1))</definedName>
    <definedName name="JanDom1" localSheetId="2">DATE('SET-OUT'!AnoDoCalendário,1,1)-WEEKDAY(DATE('SET-OUT'!AnoDoCalendário,1,1))</definedName>
    <definedName name="JanDom1">DATE(AnoDoCalendário,1,1)-WEEKDAY(DATE(AnoDoCalendário,1,1))</definedName>
    <definedName name="JulDom1" localSheetId="1">DATE('JUL-AGO'!AnoDoCalendário,7,1)-WEEKDAY(DATE('JUL-AGO'!AnoDoCalendário,7,1))</definedName>
    <definedName name="JulDom1" localSheetId="3">DATE('NOV-DEZ'!AnoDoCalendário,7,1)-WEEKDAY(DATE('NOV-DEZ'!AnoDoCalendário,7,1))</definedName>
    <definedName name="JulDom1" localSheetId="2">DATE('SET-OUT'!AnoDoCalendário,7,1)-WEEKDAY(DATE('SET-OUT'!AnoDoCalendário,7,1))</definedName>
    <definedName name="JulDom1">DATE(AnoDoCalendário,7,1)-WEEKDAY(DATE(AnoDoCalendário,7,1))</definedName>
    <definedName name="JunDom1" localSheetId="1">DATE('JUL-AGO'!AnoDoCalendário,6,1)-WEEKDAY(DATE('JUL-AGO'!AnoDoCalendário,6,1))</definedName>
    <definedName name="JunDom1" localSheetId="3">DATE('NOV-DEZ'!AnoDoCalendário,6,1)-WEEKDAY(DATE('NOV-DEZ'!AnoDoCalendário,6,1))</definedName>
    <definedName name="JunDom1" localSheetId="2">DATE('SET-OUT'!AnoDoCalendário,6,1)-WEEKDAY(DATE('SET-OUT'!AnoDoCalendário,6,1))</definedName>
    <definedName name="JunDom1">DATE(AnoDoCalendário,6,1)-WEEKDAY(DATE(AnoDoCalendário,6,1))</definedName>
    <definedName name="MaiDom1" localSheetId="1">DATE('JUL-AGO'!AnoDoCalendário,5,1)-WEEKDAY(DATE('JUL-AGO'!AnoDoCalendário,5,1))</definedName>
    <definedName name="MaiDom1" localSheetId="3">DATE('NOV-DEZ'!AnoDoCalendário,5,1)-WEEKDAY(DATE('NOV-DEZ'!AnoDoCalendário,5,1))</definedName>
    <definedName name="MaiDom1" localSheetId="2">DATE('SET-OUT'!AnoDoCalendário,5,1)-WEEKDAY(DATE('SET-OUT'!AnoDoCalendário,5,1))</definedName>
    <definedName name="MaiDom1">DATE(AnoDoCalendário,5,1)-WEEKDAY(DATE(AnoDoCalendário,5,1))</definedName>
    <definedName name="MarDom1" localSheetId="1">DATE('JUL-AGO'!AnoDoCalendário,3,1)-WEEKDAY(DATE('JUL-AGO'!AnoDoCalendário,3,1))</definedName>
    <definedName name="MarDom1" localSheetId="3">DATE('NOV-DEZ'!AnoDoCalendário,3,1)-WEEKDAY(DATE('NOV-DEZ'!AnoDoCalendário,3,1))</definedName>
    <definedName name="MarDom1" localSheetId="2">DATE('SET-OUT'!AnoDoCalendário,3,1)-WEEKDAY(DATE('SET-OUT'!AnoDoCalendário,3,1))</definedName>
    <definedName name="MarDom1">DATE(AnoDoCalendário,3,1)-WEEKDAY(DATE(AnoDoCalendário,3,1))</definedName>
    <definedName name="NovDom1" localSheetId="1">DATE('JUL-AGO'!AnoDoCalendário,11,1)-WEEKDAY(DATE('JUL-AGO'!AnoDoCalendário,11,1))</definedName>
    <definedName name="NovDom1" localSheetId="3">DATE('NOV-DEZ'!AnoDoCalendário,11,1)-WEEKDAY(DATE('NOV-DEZ'!AnoDoCalendário,11,1))</definedName>
    <definedName name="NovDom1" localSheetId="2">DATE('SET-OUT'!AnoDoCalendário,11,1)-WEEKDAY(DATE('SET-OUT'!AnoDoCalendário,11,1))</definedName>
    <definedName name="NovDom1">DATE(AnoDoCalendário,11,1)-WEEKDAY(DATE(AnoDoCalendário,11,1))</definedName>
    <definedName name="OutDom1" localSheetId="1">DATE('JUL-AGO'!AnoDoCalendário,10,1)-WEEKDAY(DATE('JUL-AGO'!AnoDoCalendário,10,1))</definedName>
    <definedName name="OutDom1" localSheetId="3">DATE('NOV-DEZ'!AnoDoCalendário,10,1)-WEEKDAY(DATE('NOV-DEZ'!AnoDoCalendário,10,1))</definedName>
    <definedName name="OutDom1" localSheetId="2">DATE('SET-OUT'!AnoDoCalendário,10,1)-WEEKDAY(DATE('SET-OUT'!AnoDoCalendário,10,1))</definedName>
    <definedName name="OutDom1">DATE(AnoDoCalendário,10,1)-WEEKDAY(DATE(AnoDoCalendário,10,1))</definedName>
    <definedName name="s">'JUL-AGO'!$C$1</definedName>
    <definedName name="SetDom1" localSheetId="1">DATE('JUL-AGO'!AnoDoCalendário,9,1)-WEEKDAY(DATE('JUL-AGO'!AnoDoCalendário,9,1))</definedName>
    <definedName name="SetDom1" localSheetId="3">DATE('NOV-DEZ'!AnoDoCalendário,9,1)-WEEKDAY(DATE('NOV-DEZ'!AnoDoCalendário,9,1))</definedName>
    <definedName name="SetDom1" localSheetId="2">DATE('SET-OUT'!AnoDoCalendário,9,1)-WEEKDAY(DATE('SET-OUT'!AnoDoCalendário,9,1))</definedName>
    <definedName name="SetDom1">DATE(AnoDoCalendário,9,1)-WEEKDAY(DATE(AnoDoCalendário,9,1))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7" l="1"/>
  <c r="P11" i="7"/>
  <c r="O11" i="7"/>
  <c r="N11" i="7"/>
  <c r="M11" i="7"/>
  <c r="L11" i="7"/>
  <c r="K11" i="7"/>
  <c r="I11" i="7"/>
  <c r="H11" i="7"/>
  <c r="G11" i="7"/>
  <c r="F11" i="7"/>
  <c r="E11" i="7"/>
  <c r="D11" i="7"/>
  <c r="C11" i="7"/>
  <c r="Q10" i="7"/>
  <c r="P10" i="7"/>
  <c r="O10" i="7"/>
  <c r="N10" i="7"/>
  <c r="M10" i="7"/>
  <c r="L10" i="7"/>
  <c r="K10" i="7"/>
  <c r="I10" i="7"/>
  <c r="H10" i="7"/>
  <c r="G10" i="7"/>
  <c r="F10" i="7"/>
  <c r="E10" i="7"/>
  <c r="D10" i="7"/>
  <c r="C10" i="7"/>
  <c r="Q9" i="7"/>
  <c r="P9" i="7"/>
  <c r="O9" i="7"/>
  <c r="N9" i="7"/>
  <c r="M9" i="7"/>
  <c r="L9" i="7"/>
  <c r="K9" i="7"/>
  <c r="I9" i="7"/>
  <c r="H9" i="7"/>
  <c r="G9" i="7"/>
  <c r="F9" i="7"/>
  <c r="E9" i="7"/>
  <c r="D9" i="7"/>
  <c r="C9" i="7"/>
  <c r="Q8" i="7"/>
  <c r="P8" i="7"/>
  <c r="O8" i="7"/>
  <c r="N8" i="7"/>
  <c r="M8" i="7"/>
  <c r="L8" i="7"/>
  <c r="K8" i="7"/>
  <c r="I8" i="7"/>
  <c r="H8" i="7"/>
  <c r="G8" i="7"/>
  <c r="F8" i="7"/>
  <c r="E8" i="7"/>
  <c r="D8" i="7"/>
  <c r="C8" i="7"/>
  <c r="Q7" i="7"/>
  <c r="P7" i="7"/>
  <c r="O7" i="7"/>
  <c r="N7" i="7"/>
  <c r="M7" i="7"/>
  <c r="L7" i="7"/>
  <c r="K7" i="7"/>
  <c r="I7" i="7"/>
  <c r="H7" i="7"/>
  <c r="G7" i="7"/>
  <c r="F7" i="7"/>
  <c r="E7" i="7"/>
  <c r="D7" i="7"/>
  <c r="C7" i="7"/>
  <c r="Q6" i="7"/>
  <c r="P6" i="7"/>
  <c r="O6" i="7"/>
  <c r="N6" i="7"/>
  <c r="M6" i="7"/>
  <c r="L6" i="7"/>
  <c r="K6" i="7"/>
  <c r="I6" i="7"/>
  <c r="H6" i="7"/>
  <c r="G6" i="7"/>
  <c r="F6" i="7"/>
  <c r="E6" i="7"/>
  <c r="D6" i="7"/>
  <c r="C6" i="7"/>
  <c r="Q11" i="4" l="1"/>
  <c r="P11" i="4"/>
  <c r="O11" i="4"/>
  <c r="N11" i="4"/>
  <c r="M11" i="4"/>
  <c r="L11" i="4"/>
  <c r="K11" i="4"/>
  <c r="I11" i="4"/>
  <c r="H11" i="4"/>
  <c r="G11" i="4"/>
  <c r="F11" i="4"/>
  <c r="E11" i="4"/>
  <c r="D11" i="4"/>
  <c r="C11" i="4"/>
  <c r="Q10" i="4"/>
  <c r="P10" i="4"/>
  <c r="O10" i="4"/>
  <c r="N10" i="4"/>
  <c r="M10" i="4"/>
  <c r="L10" i="4"/>
  <c r="K10" i="4"/>
  <c r="I10" i="4"/>
  <c r="H10" i="4"/>
  <c r="G10" i="4"/>
  <c r="F10" i="4"/>
  <c r="E10" i="4"/>
  <c r="D10" i="4"/>
  <c r="C10" i="4"/>
  <c r="Q9" i="4"/>
  <c r="P9" i="4"/>
  <c r="O9" i="4"/>
  <c r="N9" i="4"/>
  <c r="M9" i="4"/>
  <c r="L9" i="4"/>
  <c r="K9" i="4"/>
  <c r="I9" i="4"/>
  <c r="H9" i="4"/>
  <c r="G9" i="4"/>
  <c r="F9" i="4"/>
  <c r="E9" i="4"/>
  <c r="D9" i="4"/>
  <c r="C9" i="4"/>
  <c r="Q8" i="4"/>
  <c r="P8" i="4"/>
  <c r="O8" i="4"/>
  <c r="N8" i="4"/>
  <c r="M8" i="4"/>
  <c r="L8" i="4"/>
  <c r="K8" i="4"/>
  <c r="I8" i="4"/>
  <c r="H8" i="4"/>
  <c r="G8" i="4"/>
  <c r="F8" i="4"/>
  <c r="E8" i="4"/>
  <c r="D8" i="4"/>
  <c r="C8" i="4"/>
  <c r="Q7" i="4"/>
  <c r="P7" i="4"/>
  <c r="O7" i="4"/>
  <c r="N7" i="4"/>
  <c r="M7" i="4"/>
  <c r="L7" i="4"/>
  <c r="K7" i="4"/>
  <c r="I7" i="4"/>
  <c r="H7" i="4"/>
  <c r="G7" i="4"/>
  <c r="F7" i="4"/>
  <c r="E7" i="4"/>
  <c r="D7" i="4"/>
  <c r="C7" i="4"/>
  <c r="Q6" i="4"/>
  <c r="P6" i="4"/>
  <c r="O6" i="4"/>
  <c r="N6" i="4"/>
  <c r="M6" i="4"/>
  <c r="L6" i="4"/>
  <c r="K6" i="4"/>
  <c r="I6" i="4"/>
  <c r="H6" i="4"/>
  <c r="G6" i="4"/>
  <c r="F6" i="4"/>
  <c r="E6" i="4"/>
  <c r="D6" i="4"/>
  <c r="C6" i="4"/>
  <c r="Q11" i="3"/>
  <c r="P11" i="3"/>
  <c r="O11" i="3"/>
  <c r="N11" i="3"/>
  <c r="M11" i="3"/>
  <c r="L11" i="3"/>
  <c r="K11" i="3"/>
  <c r="I11" i="3"/>
  <c r="H11" i="3"/>
  <c r="G11" i="3"/>
  <c r="F11" i="3"/>
  <c r="E11" i="3"/>
  <c r="D11" i="3"/>
  <c r="C11" i="3"/>
  <c r="Q10" i="3"/>
  <c r="P10" i="3"/>
  <c r="O10" i="3"/>
  <c r="N10" i="3"/>
  <c r="M10" i="3"/>
  <c r="L10" i="3"/>
  <c r="K10" i="3"/>
  <c r="I10" i="3"/>
  <c r="H10" i="3"/>
  <c r="G10" i="3"/>
  <c r="F10" i="3"/>
  <c r="E10" i="3"/>
  <c r="D10" i="3"/>
  <c r="C10" i="3"/>
  <c r="Q9" i="3"/>
  <c r="P9" i="3"/>
  <c r="O9" i="3"/>
  <c r="N9" i="3"/>
  <c r="M9" i="3"/>
  <c r="L9" i="3"/>
  <c r="K9" i="3"/>
  <c r="I9" i="3"/>
  <c r="H9" i="3"/>
  <c r="G9" i="3"/>
  <c r="F9" i="3"/>
  <c r="E9" i="3"/>
  <c r="D9" i="3"/>
  <c r="C9" i="3"/>
  <c r="Q8" i="3"/>
  <c r="P8" i="3"/>
  <c r="O8" i="3"/>
  <c r="N8" i="3"/>
  <c r="M8" i="3"/>
  <c r="L8" i="3"/>
  <c r="K8" i="3"/>
  <c r="I8" i="3"/>
  <c r="H8" i="3"/>
  <c r="G8" i="3"/>
  <c r="F8" i="3"/>
  <c r="E8" i="3"/>
  <c r="D8" i="3"/>
  <c r="C8" i="3"/>
  <c r="Q7" i="3"/>
  <c r="P7" i="3"/>
  <c r="O7" i="3"/>
  <c r="N7" i="3"/>
  <c r="M7" i="3"/>
  <c r="L7" i="3"/>
  <c r="K7" i="3"/>
  <c r="I7" i="3"/>
  <c r="H7" i="3"/>
  <c r="G7" i="3"/>
  <c r="F7" i="3"/>
  <c r="E7" i="3"/>
  <c r="D7" i="3"/>
  <c r="C7" i="3"/>
  <c r="Q6" i="3"/>
  <c r="P6" i="3"/>
  <c r="O6" i="3"/>
  <c r="N6" i="3"/>
  <c r="M6" i="3"/>
  <c r="L6" i="3"/>
  <c r="K6" i="3"/>
  <c r="I6" i="3"/>
  <c r="H6" i="3"/>
  <c r="G6" i="3"/>
  <c r="F6" i="3"/>
  <c r="E6" i="3"/>
  <c r="D6" i="3"/>
  <c r="C6" i="3"/>
</calcChain>
</file>

<file path=xl/comments1.xml><?xml version="1.0" encoding="utf-8"?>
<comments xmlns="http://schemas.openxmlformats.org/spreadsheetml/2006/main">
  <authors>
    <author>Carlos Eduardo Simões Fonseca</author>
  </authors>
  <commentList>
    <comment ref="H15" authorId="0" shapeId="0">
      <text>
        <r>
          <rPr>
            <sz val="9"/>
            <color indexed="81"/>
            <rFont val="Segoe UI"/>
            <charset val="1"/>
          </rPr>
          <t>Ofereça Descontos em Consultorias de arquitetura.</t>
        </r>
      </text>
    </comment>
    <comment ref="O15" authorId="0" shapeId="0">
      <text>
        <r>
          <rPr>
            <sz val="9"/>
            <color indexed="81"/>
            <rFont val="Segoe UI"/>
            <charset val="1"/>
          </rPr>
          <t xml:space="preserve">Ofereça descontos para quem levar suas roupas para lavar e tingir na sua loja de tinturaria.
</t>
        </r>
      </text>
    </comment>
    <comment ref="H16" authorId="0" shapeId="0">
      <text>
        <r>
          <rPr>
            <sz val="9"/>
            <color indexed="81"/>
            <rFont val="Segoe UI"/>
            <charset val="1"/>
          </rPr>
          <t>Realizar campanhas de doação de sangue ou arrecadação de recursos para hospitais locais, e divulgar em redes sociais e mídias locais</t>
        </r>
      </text>
    </comment>
    <comment ref="O16" authorId="0" shapeId="0">
      <text>
        <r>
          <rPr>
            <sz val="9"/>
            <color indexed="81"/>
            <rFont val="Segoe UI"/>
            <charset val="1"/>
          </rPr>
          <t xml:space="preserve">Promova um happy hour em seu bar ou pub com descontos especiais em cervejas artesanais.
</t>
        </r>
      </text>
    </comment>
    <comment ref="H17" authorId="0" shapeId="0">
      <text>
        <r>
          <rPr>
            <sz val="9"/>
            <color indexed="81"/>
            <rFont val="Segoe UI"/>
            <charset val="1"/>
          </rPr>
          <t>Realize homenagens para bombeiros.</t>
        </r>
      </text>
    </comment>
    <comment ref="O17" authorId="0" shapeId="0">
      <text>
        <r>
          <rPr>
            <sz val="9"/>
            <color indexed="81"/>
            <rFont val="Segoe UI"/>
            <charset val="1"/>
          </rPr>
          <t xml:space="preserve">Faça uma promoção para quem comprar medicamentos com receita médica, oferecendo brindes ou descontos em produtos da loja.
</t>
        </r>
      </text>
    </comment>
    <comment ref="H18" authorId="0" shapeId="0">
      <text>
        <r>
          <rPr>
            <sz val="9"/>
            <color indexed="81"/>
            <rFont val="Segoe UI"/>
            <charset val="1"/>
          </rPr>
          <t xml:space="preserve">Promover pratos típicos da culinária mineira e oferecer descontos especiais para incentivar as pessoas a experimentarem.
</t>
        </r>
      </text>
    </comment>
    <comment ref="O18" authorId="0" shapeId="0">
      <text>
        <r>
          <rPr>
            <sz val="9"/>
            <color indexed="81"/>
            <rFont val="Segoe UI"/>
            <charset val="1"/>
          </rPr>
          <t xml:space="preserve">Ofereça serviços gratuitos de aferição de pressão arterial e glicemia para atrair clientes para sua farmácia ou consultório.
</t>
        </r>
      </text>
    </comment>
    <comment ref="H19" authorId="0" shapeId="0">
      <text>
        <r>
          <rPr>
            <sz val="9"/>
            <color indexed="81"/>
            <rFont val="Segoe UI"/>
            <charset val="1"/>
          </rPr>
          <t xml:space="preserve">Dia Mundial do Chocolate - 07/07
Criar promoções especiais para produtos relacionados ao chocolate e compartilhar receitas e curiosidades nas redes sociais.
</t>
        </r>
      </text>
    </comment>
    <comment ref="O19" authorId="0" shapeId="0">
      <text>
        <r>
          <rPr>
            <sz val="9"/>
            <color indexed="81"/>
            <rFont val="Segoe UI"/>
            <charset val="1"/>
          </rPr>
          <t xml:space="preserve">Ofereça uma consulta gratuita para atrair clientes para o seu escritório de advocacia.
</t>
        </r>
      </text>
    </comment>
    <comment ref="H20" authorId="0" shapeId="0">
      <text>
        <r>
          <rPr>
            <sz val="9"/>
            <color indexed="81"/>
            <rFont val="Segoe UI"/>
            <charset val="1"/>
          </rPr>
          <t xml:space="preserve">Oferecer descontos para produtos de panificação e compartilhar curiosidades sobre a profissão nas redes sociais.
</t>
        </r>
      </text>
    </comment>
    <comment ref="O20" authorId="0" shapeId="0">
      <text>
        <r>
          <rPr>
            <sz val="9"/>
            <color indexed="81"/>
            <rFont val="Segoe UI"/>
            <charset val="1"/>
          </rPr>
          <t xml:space="preserve">Ofereça descontos especiais para estudantes em seus produtos ou serviços.
</t>
        </r>
      </text>
    </comment>
    <comment ref="H21" authorId="0" shapeId="0">
      <text>
        <r>
          <rPr>
            <sz val="9"/>
            <color indexed="81"/>
            <rFont val="Segoe UI"/>
            <charset val="1"/>
          </rPr>
          <t xml:space="preserve">Criar promoções especiais para pizzas e divulgar em redes sociais, e fazer parcerias com empresas relacionadas.
</t>
        </r>
      </text>
    </comment>
    <comment ref="O21" authorId="0" shapeId="0">
      <text>
        <r>
          <rPr>
            <sz val="9"/>
            <color indexed="81"/>
            <rFont val="Segoe UI"/>
            <charset val="1"/>
          </rPr>
          <t xml:space="preserve">Faça uma promoção para quem deixar uma avaliação positiva sobre o atendimento do garçom em sua lanchonete ou restaurante.
</t>
        </r>
      </text>
    </comment>
    <comment ref="H22" authorId="0" shapeId="0">
      <text>
        <r>
          <rPr>
            <sz val="9"/>
            <color indexed="81"/>
            <rFont val="Segoe UI"/>
            <charset val="1"/>
          </rPr>
          <t xml:space="preserve">Oferecer descontos em exames oftalmológicos e incentivar a prevenção e cuidados com a saúde ocular.
</t>
        </r>
      </text>
    </comment>
    <comment ref="O22" authorId="0" shapeId="0">
      <text>
        <r>
          <rPr>
            <sz val="9"/>
            <color indexed="81"/>
            <rFont val="Segoe UI"/>
            <charset val="1"/>
          </rPr>
          <t xml:space="preserve">Ofereça consultas financeiras gratuitas ou com desconto para atrair clientes para a sua empresa de consultoria financeira.
</t>
        </r>
      </text>
    </comment>
    <comment ref="H23" authorId="0" shapeId="0">
      <text>
        <r>
          <rPr>
            <sz val="9"/>
            <color indexed="81"/>
            <rFont val="Segoe UI"/>
            <charset val="1"/>
          </rPr>
          <t xml:space="preserve">Realizar homenagens aos socorristas locais e compartilhar dicas de primeiros socorros nas redes sociais.
</t>
        </r>
      </text>
    </comment>
    <comment ref="O23" authorId="0" shapeId="0">
      <text>
        <r>
          <rPr>
            <sz val="9"/>
            <color indexed="81"/>
            <rFont val="Segoe UI"/>
            <charset val="1"/>
          </rPr>
          <t>Realizar campanhas de doação de sangue ou arrecadação de recursos para hospitais locais, e divulgar em redes sociais e mídias locais</t>
        </r>
      </text>
    </comment>
    <comment ref="H24" authorId="0" shapeId="0">
      <text>
        <r>
          <rPr>
            <sz val="9"/>
            <color indexed="81"/>
            <rFont val="Segoe UI"/>
            <charset val="1"/>
          </rPr>
          <t xml:space="preserve">Realizar promoções especiais para produtos relacionados ao rock e compartilhar curiosidades e playlists nas redes sociais.
</t>
        </r>
      </text>
    </comment>
    <comment ref="O24" authorId="0" shapeId="0">
      <text>
        <r>
          <rPr>
            <sz val="9"/>
            <color indexed="81"/>
            <rFont val="Segoe UI"/>
            <charset val="1"/>
          </rPr>
          <t xml:space="preserve">Faça uma campanha de prevenção de doenças cardíacas, oferecendo serviços de exames e consultas com desconto.
</t>
        </r>
      </text>
    </comment>
    <comment ref="H25" authorId="0" shapeId="0">
      <text>
        <r>
          <rPr>
            <sz val="9"/>
            <color indexed="81"/>
            <rFont val="Segoe UI"/>
            <charset val="1"/>
          </rPr>
          <t xml:space="preserve">Faça um concurso de canto online para artistas independentes, com prêmios para os vencedores e divulgue nas redes sociais.
</t>
        </r>
      </text>
    </comment>
    <comment ref="O25" authorId="0" shapeId="0">
      <text>
        <r>
          <rPr>
            <sz val="9"/>
            <color indexed="81"/>
            <rFont val="Segoe UI"/>
            <charset val="1"/>
          </rPr>
          <t xml:space="preserve">Ofereça descontos especiais para solteiros em serviços ou produtos que possam ser interessantes para eles.
</t>
        </r>
      </text>
    </comment>
    <comment ref="H26" authorId="0" shapeId="0">
      <text>
        <r>
          <rPr>
            <sz val="9"/>
            <color indexed="81"/>
            <rFont val="Segoe UI"/>
            <charset val="1"/>
          </rPr>
          <t xml:space="preserve">Oferecer descontos em produtos de cuidados pessoais masculinos e promover a saúde masculina nas redes sociais.
</t>
        </r>
      </text>
    </comment>
    <comment ref="O26" authorId="0" shapeId="0">
      <text>
        <r>
          <rPr>
            <sz val="9"/>
            <color indexed="81"/>
            <rFont val="Segoe UI"/>
            <charset val="1"/>
          </rPr>
          <t xml:space="preserve">Faça uma promoção de venda de produtos tecnológicos, oferecendo descontos especiais ou brindes.
</t>
        </r>
      </text>
    </comment>
    <comment ref="H27" authorId="0" shapeId="0">
      <text>
        <r>
          <rPr>
            <sz val="9"/>
            <color indexed="81"/>
            <rFont val="Segoe UI"/>
            <charset val="1"/>
          </rPr>
          <t xml:space="preserve">Dia do Comerciante - 16/07
Oferecer descontos especiais para comerciantes e divulgar em redes sociais e mídias locais.
</t>
        </r>
      </text>
    </comment>
    <comment ref="O27" authorId="0" shapeId="0">
      <text>
        <r>
          <rPr>
            <sz val="9"/>
            <color indexed="81"/>
            <rFont val="Segoe UI"/>
            <charset val="1"/>
          </rPr>
          <t xml:space="preserve">Promova um evento cultural, como uma palestra sobre filosofia, para atrair clientes para a sua livraria ou espaço cultural.
</t>
        </r>
      </text>
    </comment>
    <comment ref="H28" authorId="0" shapeId="0">
      <text>
        <r>
          <rPr>
            <sz val="9"/>
            <color indexed="81"/>
            <rFont val="Segoe UI"/>
            <charset val="1"/>
          </rPr>
          <t xml:space="preserve">Realizar promoções para produtos de futebol e compartilhar curiosidades sobre o esporte nas redes sociais.
</t>
        </r>
      </text>
    </comment>
    <comment ref="O28" authorId="0" shapeId="0">
      <text>
        <r>
          <rPr>
            <sz val="9"/>
            <color indexed="81"/>
            <rFont val="Segoe UI"/>
            <charset val="1"/>
          </rPr>
          <t xml:space="preserve">Ofereça degustações de pão de queijo gratuitas em sua padaria ou lanchonete.
</t>
        </r>
      </text>
    </comment>
    <comment ref="H29" authorId="0" shapeId="0">
      <text>
        <r>
          <rPr>
            <sz val="9"/>
            <color indexed="81"/>
            <rFont val="Segoe UI"/>
            <charset val="1"/>
          </rPr>
          <t xml:space="preserve">Criar promoções especiais para biscoitos e compartilhar receitas e curiosidades nas redes sociais. 
</t>
        </r>
      </text>
    </comment>
    <comment ref="O29" authorId="0" shapeId="0">
      <text>
        <r>
          <rPr>
            <sz val="9"/>
            <color indexed="81"/>
            <rFont val="Segoe UI"/>
            <charset val="1"/>
          </rPr>
          <t xml:space="preserve">Faça uma campanha de contratação de estagiários para a sua empresa, oferecendo benefícios e vantagens.
</t>
        </r>
      </text>
    </comment>
    <comment ref="H30" authorId="0" shapeId="0">
      <text>
        <r>
          <rPr>
            <sz val="9"/>
            <color indexed="81"/>
            <rFont val="Segoe UI"/>
            <charset val="1"/>
          </rPr>
          <t xml:space="preserve">Realize uma sessão de autógrafos online com um autor de renome e promova seu livro em suas redes sociais e na loja física.
</t>
        </r>
      </text>
    </comment>
    <comment ref="O30" authorId="0" shapeId="0">
      <text>
        <r>
          <rPr>
            <sz val="9"/>
            <color indexed="81"/>
            <rFont val="Segoe UI"/>
            <charset val="1"/>
          </rPr>
          <t xml:space="preserve">Promova um concurso de fotografia em suas redes sociais, oferecendo prêmios para os vencedores.
</t>
        </r>
      </text>
    </comment>
    <comment ref="H31" authorId="0" shapeId="0">
      <text>
        <r>
          <rPr>
            <sz val="9"/>
            <color indexed="81"/>
            <rFont val="Segoe UI"/>
            <charset val="1"/>
          </rPr>
          <t xml:space="preserve">Criar promoções especiais para presentes relacionados aos avós e compartilhar histórias e curiosidades sobre a data nas redes sociais.
</t>
        </r>
      </text>
    </comment>
    <comment ref="O31" authorId="0" shapeId="0">
      <text>
        <r>
          <rPr>
            <sz val="9"/>
            <color indexed="81"/>
            <rFont val="Segoe UI"/>
            <charset val="1"/>
          </rPr>
          <t xml:space="preserve">Promova uma feira livre em sua cidade ou bairro, oferecendo descontos especiais em produtos de feirantes locais.
</t>
        </r>
      </text>
    </comment>
    <comment ref="H32" authorId="0" shapeId="0">
      <text>
        <r>
          <rPr>
            <sz val="9"/>
            <color indexed="81"/>
            <rFont val="Segoe UI"/>
            <charset val="1"/>
          </rPr>
          <t xml:space="preserve">Criar promoções especiais para produtos relacionados a motocicletas e compartilhar dicas de segurança e cuidados nas redes sociais.
</t>
        </r>
      </text>
    </comment>
    <comment ref="O32" authorId="0" shapeId="0">
      <text>
        <r>
          <rPr>
            <sz val="9"/>
            <color indexed="81"/>
            <rFont val="Segoe UI"/>
            <charset val="1"/>
          </rPr>
          <t xml:space="preserve">Faça uma campanha de conscientização sobre a importância da igualdade de gênero, oferecendo descontos em produtos para mulheres ou contrate mulheres em cargos de liderança.
</t>
        </r>
      </text>
    </comment>
    <comment ref="H33" authorId="0" shapeId="0">
      <text>
        <r>
          <rPr>
            <sz val="9"/>
            <color indexed="81"/>
            <rFont val="Segoe UI"/>
            <charset val="1"/>
          </rPr>
          <t xml:space="preserve">Ofereça produtos agrícolas frescos com preços promocionais e crie conteúdo nas redes sociais destacando a importância dos agricultores locais.
</t>
        </r>
      </text>
    </comment>
    <comment ref="O33" authorId="0" shapeId="0">
      <text>
        <r>
          <rPr>
            <sz val="9"/>
            <color indexed="81"/>
            <rFont val="Segoe UI"/>
            <charset val="1"/>
          </rPr>
          <t xml:space="preserve">Ofereça consultas gratuitas para quem estiver procurando um imóvel ou faça uma campanha de venda com descontos especiais.
</t>
        </r>
      </text>
    </comment>
    <comment ref="H34" authorId="0" shapeId="0">
      <text>
        <r>
          <rPr>
            <sz val="9"/>
            <color indexed="81"/>
            <rFont val="Segoe UI"/>
            <charset val="1"/>
          </rPr>
          <t xml:space="preserve">Crie uma promoção do tipo "traga um amigo e ganhe desconto" em sua loja física ou online e divulgue nas redes sociais.
</t>
        </r>
      </text>
    </comment>
    <comment ref="O34" authorId="0" shapeId="0">
      <text>
        <r>
          <rPr>
            <sz val="9"/>
            <color indexed="81"/>
            <rFont val="Segoe UI"/>
            <charset val="1"/>
          </rPr>
          <t xml:space="preserve">Faça uma campanha de conscientização sobre a importância da saúde mental, oferecendo consultas gratuitas ou com desconto.
</t>
        </r>
      </text>
    </comment>
    <comment ref="H35" authorId="0" shapeId="0">
      <text>
        <r>
          <rPr>
            <sz val="9"/>
            <color indexed="81"/>
            <rFont val="Segoe UI"/>
            <charset val="1"/>
          </rPr>
          <t xml:space="preserve">Apoiar a causa ambiental e promover práticas sustentáveis em sua empresa/comércio através de campanhas nas redes sociais.
</t>
        </r>
      </text>
    </comment>
    <comment ref="O35" authorId="0" shapeId="0">
      <text>
        <r>
          <rPr>
            <sz val="9"/>
            <color indexed="81"/>
            <rFont val="Segoe UI"/>
            <charset val="1"/>
          </rPr>
          <t xml:space="preserve">Faça uma promoção em sua loja de jogos ou videogames, oferecendo descontos especiais em jogos ou consoles.
</t>
        </r>
      </text>
    </comment>
    <comment ref="O36" authorId="0" shapeId="0">
      <text>
        <r>
          <rPr>
            <sz val="9"/>
            <color indexed="81"/>
            <rFont val="Segoe UI"/>
            <charset val="1"/>
          </rPr>
          <t xml:space="preserve">Ofereça uma consulta gratuita ou com desconto para quem estiver interessado em melhorar a alimentação e a saúde.
</t>
        </r>
      </text>
    </comment>
  </commentList>
</comments>
</file>

<file path=xl/comments2.xml><?xml version="1.0" encoding="utf-8"?>
<comments xmlns="http://schemas.openxmlformats.org/spreadsheetml/2006/main">
  <authors>
    <author>Carlos Eduardo Simões Fonseca</author>
  </authors>
  <commentList>
    <comment ref="I15" authorId="0" shapeId="0">
      <text>
        <r>
          <rPr>
            <sz val="9"/>
            <color indexed="81"/>
            <rFont val="Segoe UI"/>
            <charset val="1"/>
          </rPr>
          <t xml:space="preserve">Ofereça descontos em serviços de personal trainer, aulas de fitness em grupo ou planos de academia para professores de educação física. Realize sorteios em redes sociais e ofereça brindes como garrafas de água personalizadas ou camisetas de treino.
</t>
        </r>
      </text>
    </comment>
    <comment ref="Q15" authorId="0" shapeId="0">
      <text>
        <r>
          <rPr>
            <sz val="9"/>
            <color indexed="81"/>
            <rFont val="Segoe UI"/>
            <charset val="1"/>
          </rPr>
          <t xml:space="preserve">Promova um evento musical em sua loja, com músicos locais ou escola de música da região. Ofereça descontos em instrumentos musicais.
</t>
        </r>
      </text>
    </comment>
    <comment ref="I16" authorId="0" shapeId="0">
      <text>
        <r>
          <rPr>
            <sz val="9"/>
            <color indexed="81"/>
            <rFont val="Segoe UI"/>
            <charset val="1"/>
          </rPr>
          <t xml:space="preserve">Realize promoções em buquês, arranjos de flores e decoração para festas e eventos. Use as redes sociais para compartilhar imagens de suas criações e mostre como elas podem transformar espaços e eventos especiais. Considere a criação de pacotes especiais para ocasiões como casamentos, formaturas e eventos corporativos.
</t>
        </r>
      </text>
    </comment>
    <comment ref="Q16" authorId="0" shapeId="0">
      <text>
        <r>
          <rPr>
            <sz val="9"/>
            <color indexed="81"/>
            <rFont val="Segoe UI"/>
            <charset val="1"/>
          </rPr>
          <t xml:space="preserve">Faça promoções exclusivas para os vendedores, oferecendo descontos em produtos ou serviços.
</t>
        </r>
      </text>
    </comment>
    <comment ref="I17" authorId="0" shapeId="0">
      <text>
        <r>
          <rPr>
            <sz val="9"/>
            <color indexed="81"/>
            <rFont val="Segoe UI"/>
            <charset val="1"/>
          </rPr>
          <t xml:space="preserve">Compartilhe conteúdo relevante sobre conservação, meio ambiente e sustentabilidade nas redes sociais. Realize eventos como palestras e workshops sobre temas como biologia marinha, conservação de espécies e ecologia. Crie promoções em produtos e serviços que estejam relacionados à preservação ambiental e à biologia, como produtos orgânicos, ecoturismo e guias de campo. 
</t>
        </r>
      </text>
    </comment>
    <comment ref="Q17" authorId="0" shapeId="0">
      <text>
        <r>
          <rPr>
            <sz val="9"/>
            <color indexed="81"/>
            <rFont val="Segoe UI"/>
            <charset val="1"/>
          </rPr>
          <t xml:space="preserve">Dia do cachorro - 04/10
Faça uma ação de adoção de cachorros em parceria com um abrigo local e ofereça descontos em produtos pet na sua loja.
</t>
        </r>
      </text>
    </comment>
    <comment ref="I18" authorId="0" shapeId="0">
      <text>
        <r>
          <rPr>
            <sz val="9"/>
            <color indexed="81"/>
            <rFont val="Segoe UI"/>
            <charset val="1"/>
          </rPr>
          <t xml:space="preserve">Ofereça aulas experimentais gratuitas de Taekwondo para novos alunos. Realize promoções em pacotes de aulas e cursos de treinamento para alunos que se inscreverem no Dia Mundial do Taekwondo. Realize uma competição interna para alunos de Taekwondo, oferecendo prêmios como medalhas e troféus. Divulgue os eventos nas redes sociais e faça parcerias com outras escolas e organizações para ampliar a visibilidade do evento.
</t>
        </r>
      </text>
    </comment>
    <comment ref="Q18" authorId="0" shapeId="0">
      <text>
        <r>
          <rPr>
            <sz val="9"/>
            <color indexed="81"/>
            <rFont val="Segoe UI"/>
            <charset val="1"/>
          </rPr>
          <t xml:space="preserve">Ofereça promoções em drinks e coquetéis no seu estabelecimento.
</t>
        </r>
      </text>
    </comment>
    <comment ref="I19" authorId="0" shapeId="0">
      <text>
        <r>
          <rPr>
            <sz val="9"/>
            <color indexed="81"/>
            <rFont val="Segoe UI"/>
            <charset val="1"/>
          </rPr>
          <t xml:space="preserve">Ofereça descontos em serviços e produtos que possam ser divididos com um irmão, como pacotes de viagem, passeios em grupo, aulas em dupla, roupas e acessórios que tenham opções para ambos os sexos. Realize sorteios em redes sociais e ofereça brindes como camisetas com frases divertidas para irmãos, canecas personalizadas e porta-retratos.
</t>
        </r>
      </text>
    </comment>
    <comment ref="Q19" authorId="0" shapeId="0">
      <text>
        <r>
          <rPr>
            <sz val="9"/>
            <color indexed="81"/>
            <rFont val="Segoe UI"/>
            <charset val="1"/>
          </rPr>
          <t xml:space="preserve">Faça uma ação em parceria com uma organização de preservação de aves, arrecadando fundos para a causa.
</t>
        </r>
      </text>
    </comment>
    <comment ref="I20" authorId="0" shapeId="0">
      <text>
        <r>
          <rPr>
            <sz val="9"/>
            <color indexed="81"/>
            <rFont val="Segoe UI"/>
            <charset val="1"/>
          </rPr>
          <t xml:space="preserve">Promoção em lojas de roupas íntimas e sex shops, criação de produtos temáticos e divulgação nas redes sociais
</t>
        </r>
      </text>
    </comment>
    <comment ref="Q20" authorId="0" shapeId="0">
      <text>
        <r>
          <rPr>
            <sz val="9"/>
            <color indexed="81"/>
            <rFont val="Segoe UI"/>
            <charset val="1"/>
          </rPr>
          <t xml:space="preserve">Ofereça descontos especiais em materiais escolares e livros didáticos para professores e divulgue nas redes sociais.
</t>
        </r>
      </text>
    </comment>
    <comment ref="I21" authorId="0" shapeId="0">
      <text>
        <r>
          <rPr>
            <sz val="9"/>
            <color indexed="81"/>
            <rFont val="Segoe UI"/>
            <charset val="1"/>
          </rPr>
          <t xml:space="preserve">Promoção de combos com cachorro-quente e bebida em lanchonetes e food trucks, divulgação nas redes sociais.
</t>
        </r>
      </text>
    </comment>
    <comment ref="Q21" authorId="0" shapeId="0">
      <text>
        <r>
          <rPr>
            <sz val="9"/>
            <color indexed="81"/>
            <rFont val="Segoe UI"/>
            <charset val="1"/>
          </rPr>
          <t xml:space="preserve">Divulgue histórias de sucesso de tecnólogos em sua área de atuação nas redes sociais, com a hashtag #SucessoComTecnologia.
</t>
        </r>
      </text>
    </comment>
    <comment ref="I22" authorId="0" shapeId="0">
      <text>
        <r>
          <rPr>
            <sz val="9"/>
            <color indexed="81"/>
            <rFont val="Segoe UI"/>
            <charset val="1"/>
          </rPr>
          <t xml:space="preserve">Promoção de drinks com cachaça em bares e restaurantes, criação de produtos temáticos e divulgação nas redes.
</t>
        </r>
      </text>
    </comment>
    <comment ref="Q22" authorId="0" shapeId="0">
      <text>
        <r>
          <rPr>
            <sz val="9"/>
            <color indexed="81"/>
            <rFont val="Segoe UI"/>
            <charset val="1"/>
          </rPr>
          <t xml:space="preserve">
Promova uma corrida ou caminhada para incentivar a prática esportiva na sua comunidade.
</t>
        </r>
      </text>
    </comment>
    <comment ref="I23" authorId="0" shapeId="0">
      <text>
        <r>
          <rPr>
            <sz val="9"/>
            <color indexed="81"/>
            <rFont val="Segoe UI"/>
            <charset val="1"/>
          </rPr>
          <t xml:space="preserve">Promoção de cursos de programação e descontos em produtos relacionados à tecnologia, divulgação nas redes.
</t>
        </r>
      </text>
    </comment>
    <comment ref="Q23" authorId="0" shapeId="0">
      <text>
        <r>
          <rPr>
            <sz val="9"/>
            <color indexed="81"/>
            <rFont val="Segoe UI"/>
            <charset val="1"/>
          </rPr>
          <t xml:space="preserve">Ofereça descontos em cortes especiais de carne e divulgue nas redes sociais com a hashtag #ChurrascoPerfeito.
</t>
        </r>
      </text>
    </comment>
    <comment ref="I24" authorId="0" shapeId="0">
      <text>
        <r>
          <rPr>
            <sz val="9"/>
            <color indexed="81"/>
            <rFont val="Segoe UI"/>
            <charset val="1"/>
          </rPr>
          <t xml:space="preserve">Promoção de descontos exclusivos para clientes fiéis, agradecimento através de brindes personalizados.
</t>
        </r>
      </text>
    </comment>
    <comment ref="Q24" authorId="0" shapeId="0">
      <text>
        <r>
          <rPr>
            <sz val="9"/>
            <color indexed="81"/>
            <rFont val="Segoe UI"/>
            <charset val="1"/>
          </rPr>
          <t xml:space="preserve">Faça uma ação solidária em parceria com uma organização que atenda pessoas com deficiência física.
</t>
        </r>
      </text>
    </comment>
    <comment ref="I25" authorId="0" shapeId="0">
      <text>
        <r>
          <rPr>
            <sz val="9"/>
            <color indexed="81"/>
            <rFont val="Segoe UI"/>
            <charset val="1"/>
          </rPr>
          <t xml:space="preserve">Promoção de descontos em combustíveis, manutenção e serviços para caminhoneiros, divulgação nas estradas.
</t>
        </r>
      </text>
    </comment>
    <comment ref="Q25" authorId="0" shapeId="0">
      <text>
        <r>
          <rPr>
            <sz val="9"/>
            <color indexed="81"/>
            <rFont val="Segoe UI"/>
            <charset val="1"/>
          </rPr>
          <t xml:space="preserve">Ofereça descontos em livros e faça uma campanha nas redes sociais para incentivar a leitura.
</t>
        </r>
      </text>
    </comment>
    <comment ref="I26" authorId="0" shapeId="0">
      <text>
        <r>
          <rPr>
            <sz val="9"/>
            <color indexed="81"/>
            <rFont val="Segoe UI"/>
            <charset val="1"/>
          </rPr>
          <t xml:space="preserve">Promoção de descontos em aparelhos de televisão e pacotes de canais, criação de conteúdo temático.
</t>
        </r>
      </text>
    </comment>
    <comment ref="Q26" authorId="0" shapeId="0">
      <text>
        <r>
          <rPr>
            <sz val="9"/>
            <color indexed="81"/>
            <rFont val="Segoe UI"/>
            <charset val="1"/>
          </rPr>
          <t xml:space="preserve">Ofereça avaliações gratuitas ou descontos em sessões de fisioterapia para novos pacientes.
</t>
        </r>
      </text>
    </comment>
    <comment ref="I27" authorId="0" shapeId="0">
      <text>
        <r>
          <rPr>
            <sz val="9"/>
            <color indexed="81"/>
            <rFont val="Segoe UI"/>
            <charset val="1"/>
          </rPr>
          <t xml:space="preserve">Promoção de descontos exclusivos para compras realizadas na data, divulgação nas redes sociais.
</t>
        </r>
      </text>
    </comment>
    <comment ref="Q27" authorId="0" shapeId="0">
      <text>
        <r>
          <rPr>
            <sz val="9"/>
            <color indexed="81"/>
            <rFont val="Segoe UI"/>
            <charset val="1"/>
          </rPr>
          <t xml:space="preserve">Realize ações valorizando o trabalho dos professores e ressaltando sua importância na sociedade. 
</t>
        </r>
      </text>
    </comment>
    <comment ref="I28" authorId="0" shapeId="0">
      <text>
        <r>
          <rPr>
            <sz val="9"/>
            <color indexed="81"/>
            <rFont val="Segoe UI"/>
            <charset val="1"/>
          </rPr>
          <t xml:space="preserve">Promoção de produtos exclusivos para presentear tios, criação de conteúdo temático nas redes sociais.
</t>
        </r>
      </text>
    </comment>
    <comment ref="Q28" authorId="0" shapeId="0">
      <text>
        <r>
          <rPr>
            <sz val="9"/>
            <color indexed="81"/>
            <rFont val="Segoe UI"/>
            <charset val="1"/>
          </rPr>
          <t xml:space="preserve">Ofereça descontos em pães especiais ou faça uma degustação gratuita de diferentes tipos de pão na sua loja.
</t>
        </r>
      </text>
    </comment>
    <comment ref="I29" authorId="0" shapeId="0">
      <text>
        <r>
          <rPr>
            <sz val="9"/>
            <color indexed="81"/>
            <rFont val="Segoe UI"/>
            <charset val="1"/>
          </rPr>
          <t xml:space="preserve">Promoção de produtos orgânicos e artesanais produzidos em fazendas, criação de conteúdo temático.
</t>
        </r>
      </text>
    </comment>
    <comment ref="Q29" authorId="0" shapeId="0">
      <text>
        <r>
          <rPr>
            <sz val="9"/>
            <color indexed="81"/>
            <rFont val="Segoe UI"/>
            <charset val="1"/>
          </rPr>
          <t xml:space="preserve">Faça uma playlist especial de músicas brasileiras em sua loja ou promova um evento musical com artistas locais.
</t>
        </r>
      </text>
    </comment>
    <comment ref="I30" authorId="0" shapeId="0">
      <text>
        <r>
          <rPr>
            <sz val="9"/>
            <color indexed="81"/>
            <rFont val="Segoe UI"/>
            <charset val="1"/>
          </rPr>
          <t xml:space="preserve">Promoção de serviços de contabilidade, criação de conteúdo educativo nas redes sociais.
</t>
        </r>
      </text>
    </comment>
    <comment ref="Q30" authorId="0" shapeId="0">
      <text>
        <r>
          <rPr>
            <sz val="9"/>
            <color indexed="81"/>
            <rFont val="Segoe UI"/>
            <charset val="1"/>
          </rPr>
          <t xml:space="preserve">Ofereça descontos em tintas e acessórios para pintura e promova um concurso de arte em sua loja.
</t>
        </r>
      </text>
    </comment>
    <comment ref="I31" authorId="0" shapeId="0">
      <text>
        <r>
          <rPr>
            <sz val="9"/>
            <color indexed="81"/>
            <rFont val="Segoe UI"/>
            <charset val="1"/>
          </rPr>
          <t xml:space="preserve">Promoção de descontos em sorveterias, criação de sabores temáticos, divulgação nas redes sociais.
</t>
        </r>
      </text>
    </comment>
    <comment ref="Q31" authorId="0" shapeId="0">
      <text>
        <r>
          <rPr>
            <sz val="9"/>
            <color indexed="81"/>
            <rFont val="Segoe UI"/>
            <charset val="1"/>
          </rPr>
          <t xml:space="preserve">Faça uma parceria com uma livraria local para oferecer descontos em livros relacionados ao seu negócio ou que possam interessar aos seus clientes. Promova uma tarde de autógrafos com um autor local e incentive a participação nas redes sociais com a hashtag #diadolivro.
</t>
        </r>
      </text>
    </comment>
    <comment ref="I32" authorId="0" shapeId="0">
      <text>
        <r>
          <rPr>
            <sz val="9"/>
            <color indexed="81"/>
            <rFont val="Segoe UI"/>
            <charset val="1"/>
          </rPr>
          <t xml:space="preserve">Promoção de programas especiais nas rádios, sorteio de prêmios aos ouvintes, criação de conteúdo temático.
</t>
        </r>
      </text>
    </comment>
    <comment ref="Q32" authorId="0" shapeId="0">
      <text>
        <r>
          <rPr>
            <sz val="9"/>
            <color indexed="81"/>
            <rFont val="Segoe UI"/>
            <charset val="1"/>
          </rPr>
          <t xml:space="preserve">Ofereça descontos em serviços odontológicos e divulgue nas redes sociais com a hashtag #SorrisoPerfeito.
</t>
        </r>
      </text>
    </comment>
    <comment ref="I33" authorId="0" shapeId="0">
      <text>
        <r>
          <rPr>
            <sz val="9"/>
            <color indexed="81"/>
            <rFont val="Segoe UI"/>
            <charset val="1"/>
          </rPr>
          <t xml:space="preserve">Promoção de produtos exclusivos para presentear primos, criação de conteúdo temático nas redes sociais.
</t>
        </r>
      </text>
    </comment>
    <comment ref="Q33" authorId="0" shapeId="0">
      <text>
        <r>
          <rPr>
            <sz val="9"/>
            <color indexed="81"/>
            <rFont val="Segoe UI"/>
            <charset val="1"/>
          </rPr>
          <t xml:space="preserve">Ofereça descontos especiais em serviços de conserto de calçados e divulgue nas redes sociais e em cartazes na sua loja. Incentive os clientes a trazerem seus calçados para conserto e ofereça brindes como chaveiros ou palmilhas.
</t>
        </r>
      </text>
    </comment>
    <comment ref="I34" authorId="0" shapeId="0">
      <text>
        <r>
          <rPr>
            <sz val="9"/>
            <color indexed="81"/>
            <rFont val="Segoe UI"/>
            <charset val="1"/>
          </rPr>
          <t xml:space="preserve">Promoção de pacotes turísticos e descontos em hotéis e restaurantes, divulgação nas redes sociais.
</t>
        </r>
      </text>
    </comment>
    <comment ref="Q34" authorId="0" shapeId="0">
      <text>
        <r>
          <rPr>
            <sz val="9"/>
            <color indexed="81"/>
            <rFont val="Segoe UI"/>
            <charset val="1"/>
          </rPr>
          <t>oferecer descontos em livros relacionados ao seu negócio ou que possam interessar aos seus clientes. Promova uma tarde de autógrafos com um autor local e incentive a participação nas redes sociais com a hashtag #diadolivro.</t>
        </r>
      </text>
    </comment>
    <comment ref="I35" authorId="0" shapeId="0">
      <text>
        <r>
          <rPr>
            <sz val="9"/>
            <color indexed="81"/>
            <rFont val="Segoe UI"/>
            <charset val="1"/>
          </rPr>
          <t xml:space="preserve">Promoção de serviços de encanamento, criação de conteúdo educativo nas redes sociais.
</t>
        </r>
      </text>
    </comment>
    <comment ref="Q35" authorId="0" shapeId="0">
      <text>
        <r>
          <rPr>
            <sz val="9"/>
            <color indexed="81"/>
            <rFont val="Segoe UI"/>
            <charset val="1"/>
          </rPr>
          <t xml:space="preserve">Realize um workshop ou palestra sobre dicas de decoração para a casa ou escritório e convide um especialista para falar sobre o assunto. Divulgue nas redes sociais e ofereça descontos em produtos de decoração na sua loja durante o evento. Crie um concurso de fotos da casa ou escritório mais bem decorado, incentivando a participação nas redes sociais com a hashtag #diadadecoração.
</t>
        </r>
      </text>
    </comment>
    <comment ref="I36" authorId="0" shapeId="0">
      <text>
        <r>
          <rPr>
            <sz val="9"/>
            <color indexed="81"/>
            <rFont val="Segoe UI"/>
            <charset val="1"/>
          </rPr>
          <t xml:space="preserve">Promoção de brindes personalizados para secretárias, agradecimento e reconhecimento através de posts.
</t>
        </r>
      </text>
    </comment>
  </commentList>
</comments>
</file>

<file path=xl/comments3.xml><?xml version="1.0" encoding="utf-8"?>
<comments xmlns="http://schemas.openxmlformats.org/spreadsheetml/2006/main">
  <authors>
    <author>Carlos Eduardo Simões Fonseca</author>
  </authors>
  <commentList>
    <comment ref="J15" authorId="0" shapeId="0">
      <text>
        <r>
          <rPr>
            <sz val="9"/>
            <color indexed="81"/>
            <rFont val="Segoe UI"/>
            <charset val="1"/>
          </rPr>
          <t xml:space="preserve">Faça uma parceria com restaurantes veganos locais e ofereça descontos exclusivos para seus clientes.
</t>
        </r>
      </text>
    </comment>
    <comment ref="Q15" authorId="0" shapeId="0">
      <text>
        <r>
          <rPr>
            <sz val="9"/>
            <color indexed="81"/>
            <rFont val="Segoe UI"/>
            <charset val="1"/>
          </rPr>
          <t xml:space="preserve">Oferecer promoções especiais em produtos/serviços relacionados à cultura mineira, como por exemplo, pratos típicos da culinária mineira em restaurantes, produtos artesanais, dentre outros.
</t>
        </r>
      </text>
    </comment>
    <comment ref="J16" authorId="0" shapeId="0">
      <text>
        <r>
          <rPr>
            <sz val="9"/>
            <color indexed="81"/>
            <rFont val="Segoe UI"/>
            <charset val="1"/>
          </rPr>
          <t xml:space="preserve">Reconheça a natureza significativa do Dia de Finados e seja sensível às emoções dos clientes. Mostre empatia em suas mensagens e comunicações, destacando que você entende a importância desse dia e que está disponível para atender às necessidades dos clientes de forma respeitosa.
</t>
        </r>
      </text>
    </comment>
    <comment ref="Q16" authorId="0" shapeId="0">
      <text>
        <r>
          <rPr>
            <sz val="9"/>
            <color indexed="81"/>
            <rFont val="Segoe UI"/>
            <charset val="1"/>
          </rPr>
          <t xml:space="preserve">Promover eventos e palestras sobre astronomia e astrologia em lojas de artigos para camping e aventura, com divulgação nas redes sociais e convites para influenciadores que possam compartilhar o evento com seus seguidores.
</t>
        </r>
      </text>
    </comment>
    <comment ref="J17" authorId="0" shapeId="0">
      <text>
        <r>
          <rPr>
            <sz val="9"/>
            <color indexed="81"/>
            <rFont val="Segoe UI"/>
            <charset val="1"/>
          </rPr>
          <t xml:space="preserve">Mostre o processo de criação de seus produtos em suas redes sociais e destaque o papel dos inventores na história.
</t>
        </r>
      </text>
    </comment>
    <comment ref="Q17" authorId="0" shapeId="0">
      <text>
        <r>
          <rPr>
            <sz val="9"/>
            <color indexed="81"/>
            <rFont val="Segoe UI"/>
            <charset val="1"/>
          </rPr>
          <t xml:space="preserve">Oferecer descontos em serviços de segurança, como câmeras de vigilância, alarmes residenciais e monitoramento de segurança, para incentivar os consumidores a investirem em segurança para suas casas e empresas.
</t>
        </r>
      </text>
    </comment>
    <comment ref="J18" authorId="0" shapeId="0">
      <text>
        <r>
          <rPr>
            <sz val="9"/>
            <color indexed="81"/>
            <rFont val="Segoe UI"/>
            <charset val="1"/>
          </rPr>
          <t xml:space="preserve">Ofereça um desconto especial em serviços de design gráfico, como criação de logotipos ou desenvolvimento de websites
</t>
        </r>
      </text>
    </comment>
    <comment ref="Q18" authorId="0" shapeId="0">
      <text>
        <r>
          <rPr>
            <sz val="9"/>
            <color indexed="81"/>
            <rFont val="Segoe UI"/>
            <charset val="1"/>
          </rPr>
          <t xml:space="preserve">Realizar promoções especiais em serviços de marketing digital, como gestão de redes sociais, criação de anúncios online, otimização de SEO, para ajudar as empresas a melhorar sua visibilidade online e aumentar suas vendas.
</t>
        </r>
      </text>
    </comment>
    <comment ref="J19" authorId="0" shapeId="0">
      <text>
        <r>
          <rPr>
            <sz val="9"/>
            <color indexed="81"/>
            <rFont val="Segoe UI"/>
            <charset val="1"/>
          </rPr>
          <t xml:space="preserve">Crie uma campanha de incentivo à leitura e promova obras de ficção científica e livros sobre arte e cultura.
</t>
        </r>
      </text>
    </comment>
    <comment ref="Q19" authorId="0" shapeId="0">
      <text>
        <r>
          <rPr>
            <sz val="9"/>
            <color indexed="81"/>
            <rFont val="Segoe UI"/>
            <charset val="1"/>
          </rPr>
          <t xml:space="preserve">Incentivar a acessibilidade em estabelecimentos comerciais, como restaurantes, lojas e hotéis, oferecendo rampas de acesso para cadeirantes, cardápios em braile e outros recursos que facilitem a acessibilidade de pessoas com deficiência.
</t>
        </r>
      </text>
    </comment>
    <comment ref="J20" authorId="0" shapeId="0">
      <text>
        <r>
          <rPr>
            <sz val="9"/>
            <color indexed="81"/>
            <rFont val="Segoe UI"/>
            <charset val="1"/>
          </rPr>
          <t xml:space="preserve">Crie um evento de comédia ou promova a visita de um comediante em seu estabelecimento para celebrar a data.
</t>
        </r>
      </text>
    </comment>
    <comment ref="Q20" authorId="0" shapeId="0">
      <text>
        <r>
          <rPr>
            <sz val="9"/>
            <color indexed="81"/>
            <rFont val="Segoe UI"/>
            <charset val="1"/>
          </rPr>
          <t xml:space="preserve">Oferecer descontos especiais em produtos de ótica, como armações de óculos, lentes de contato, óculos de sol, e divulgar essas promoções nas redes sociais para atrair mais clientes.
</t>
        </r>
      </text>
    </comment>
    <comment ref="J21" authorId="0" shapeId="0">
      <text>
        <r>
          <rPr>
            <sz val="9"/>
            <color indexed="81"/>
            <rFont val="Segoe UI"/>
            <charset val="1"/>
          </rPr>
          <t xml:space="preserve">Ofereça pacotes promocionais em hospedagem e refeições em seu hotel, destacando o conforto e o atendimento de qualidade.
</t>
        </r>
      </text>
    </comment>
    <comment ref="Q21" authorId="0" shapeId="0">
      <text>
        <r>
          <rPr>
            <sz val="9"/>
            <color indexed="81"/>
            <rFont val="Segoe UI"/>
            <charset val="1"/>
          </rPr>
          <t xml:space="preserve">Realizar promoções especiais em serviços de arquitetura e decoração, como consultorias em design de interiores, projetos de arquitetura, dentre outros, para ajudar os clientes a renovarem seus ambientes e melhorar sua qualidade de vida.
</t>
        </r>
      </text>
    </comment>
    <comment ref="J22" authorId="0" shapeId="0">
      <text>
        <r>
          <rPr>
            <sz val="9"/>
            <color indexed="81"/>
            <rFont val="Segoe UI"/>
            <charset val="1"/>
          </rPr>
          <t xml:space="preserve">Promova a venda de produtos à base de trigo, como pães, massas e bolos, e crie um concurso de receitas.
</t>
        </r>
      </text>
    </comment>
    <comment ref="Q22" authorId="0" shapeId="0">
      <text>
        <r>
          <rPr>
            <sz val="9"/>
            <color indexed="81"/>
            <rFont val="Segoe UI"/>
            <charset val="1"/>
          </rPr>
          <t xml:space="preserve">Promover descontos em artigos esportivos em lojas de esportes, bem como oferecer aulas gratuitas de atividades físicas em academias ou ao ar livre, para incentivar as pessoas a praticarem exercícios físicos e cuidarem de sua saúde e bem-estar.
</t>
        </r>
      </text>
    </comment>
    <comment ref="J23" authorId="0" shapeId="0">
      <text>
        <r>
          <rPr>
            <sz val="9"/>
            <color indexed="81"/>
            <rFont val="Segoe UI"/>
            <charset val="1"/>
          </rPr>
          <t xml:space="preserve">Ofereça descontos exclusivos em produtos selecionados e crie uma campanha de fidelidade para seus clientes.
</t>
        </r>
      </text>
    </comment>
    <comment ref="J24" authorId="0" shapeId="0">
      <text>
        <r>
          <rPr>
            <sz val="9"/>
            <color indexed="81"/>
            <rFont val="Segoe UI"/>
            <charset val="1"/>
          </rPr>
          <t xml:space="preserve">Faça uma parceria com empresas de manutenção e venda de carros e ofereça descontos em serviços automotivos.
</t>
        </r>
      </text>
    </comment>
    <comment ref="J25" authorId="0" shapeId="0">
      <text>
        <r>
          <rPr>
            <sz val="9"/>
            <color indexed="81"/>
            <rFont val="Segoe UI"/>
            <charset val="1"/>
          </rPr>
          <t xml:space="preserve">Mostre o processo de criação de seus produtos em suas redes sociais e destaque o papel dos inventores na história.
</t>
        </r>
      </text>
    </comment>
    <comment ref="J26" authorId="0" shapeId="0">
      <text>
        <r>
          <rPr>
            <sz val="9"/>
            <color indexed="81"/>
            <rFont val="Segoe UI"/>
            <charset val="1"/>
          </rPr>
          <t xml:space="preserve">Realize uma apresentação de dança de rua ou um concurso de rap em seu estabelecimento, destacando a cultura do hip hop.
</t>
        </r>
      </text>
    </comment>
    <comment ref="J27" authorId="0" shapeId="0">
      <text>
        <r>
          <rPr>
            <sz val="9"/>
            <color indexed="81"/>
            <rFont val="Segoe UI"/>
            <charset val="1"/>
          </rPr>
          <t xml:space="preserve">Promova a conscientização sobre a diabetes e compartilhe informações sobre alimentação saudável e atividade física.
</t>
        </r>
      </text>
    </comment>
    <comment ref="J28" authorId="0" shapeId="0">
      <text>
        <r>
          <rPr>
            <sz val="9"/>
            <color indexed="81"/>
            <rFont val="Segoe UI"/>
            <charset val="1"/>
          </rPr>
          <t xml:space="preserve">Destaque suas melhores peças de joalheria em suas redes sociais e ofereça descontos exclusivos para seus clientes.
</t>
        </r>
      </text>
    </comment>
    <comment ref="J29" authorId="0" shapeId="0">
      <text>
        <r>
          <rPr>
            <sz val="9"/>
            <color indexed="81"/>
            <rFont val="Segoe UI"/>
            <charset val="1"/>
          </rPr>
          <t xml:space="preserve">Crie um concurso de arte ou fotografia e promova a criatividade entre seus clientes e seguidores.
</t>
        </r>
      </text>
    </comment>
    <comment ref="J30" authorId="0" shapeId="0">
      <text>
        <r>
          <rPr>
            <sz val="9"/>
            <color indexed="81"/>
            <rFont val="Segoe UI"/>
            <charset val="1"/>
          </rPr>
          <t xml:space="preserve">artilhe histórias de empreendedores de sucesso em suas redes sociais e ofereça mentorias ou palestras motivacionais.
</t>
        </r>
      </text>
    </comment>
    <comment ref="J31" authorId="0" shapeId="0">
      <text>
        <r>
          <rPr>
            <sz val="9"/>
            <color indexed="81"/>
            <rFont val="Segoe UI"/>
            <charset val="1"/>
          </rPr>
          <t xml:space="preserve">Promova a conscientização sobre a importância da saúde e destaque o papel dos biomédicos em exames e diagnósticos.
</t>
        </r>
      </text>
    </comment>
    <comment ref="J32" authorId="0" shapeId="0">
      <text>
        <r>
          <rPr>
            <sz val="9"/>
            <color indexed="81"/>
            <rFont val="Segoe UI"/>
            <charset val="1"/>
          </rPr>
          <t xml:space="preserve">Ofereça apresentações musicais em seu estabelecimento ou promova a venda de instrumentos musicais com descontos especiais.
</t>
        </r>
      </text>
    </comment>
    <comment ref="J33" authorId="0" shapeId="0">
      <text>
        <r>
          <rPr>
            <sz val="9"/>
            <color indexed="81"/>
            <rFont val="Segoe UI"/>
            <charset val="1"/>
          </rPr>
          <t xml:space="preserve">Crie ofertas especiais e exclusivas para a Black Friday, oferecendo descontos atrativos em produtos selecionados ou pacotes promocionais. Certifique-se de que as ofertas sejam realmente vantajosas para atrair os consumidores.
</t>
        </r>
      </text>
    </comment>
    <comment ref="J34" authorId="0" shapeId="0">
      <text>
        <r>
          <rPr>
            <sz val="9"/>
            <color indexed="81"/>
            <rFont val="Segoe UI"/>
            <charset val="1"/>
          </rPr>
          <t xml:space="preserve">Ofereça descontos em presentes para madrinhas de casamento e destaque a importância delas na vida das noivas.
</t>
        </r>
      </text>
    </comment>
    <comment ref="J35" authorId="0" shapeId="0">
      <text>
        <r>
          <rPr>
            <sz val="9"/>
            <color indexed="81"/>
            <rFont val="Segoe UI"/>
            <charset val="1"/>
          </rPr>
          <t xml:space="preserve">Promova a conscientização sobre a segurança no trabalho e ofereça descontos em serviços de segurança e treinamento.
</t>
        </r>
      </text>
    </comment>
  </commentList>
</comments>
</file>

<file path=xl/connections.xml><?xml version="1.0" encoding="utf-8"?>
<connections xmlns="http://schemas.openxmlformats.org/spreadsheetml/2006/main">
  <connection id="1" keepAlive="1" name="Consulta - julho-agosto-2023" description="Conexão com a consulta 'julho-agosto-2023' na pasta de trabalho." type="5" refreshedVersion="6" background="1" saveData="1">
    <dbPr connection="Provider=Microsoft.Mashup.OleDb.1;Data Source=$Workbook$;Location=julho-agosto-2023;Extended Properties=&quot;&quot;" command="SELECT * FROM [julho-agosto-2023]"/>
  </connection>
  <connection id="2" keepAlive="1" name="Consulta - julho-agosto-2023 (2)" description="Conexão com a consulta 'julho-agosto-2023 (2)' na pasta de trabalho." type="5" refreshedVersion="6" background="1" saveData="1">
    <dbPr connection="Provider=Microsoft.Mashup.OleDb.1;Data Source=$Workbook$;Location=&quot;julho-agosto-2023 (2)&quot;;Extended Properties=&quot;&quot;" command="SELECT * FROM [julho-agosto-2023 (2)]"/>
  </connection>
  <connection id="3" keepAlive="1" name="Consulta - nov-dez-2023" description="Conexão com a consulta 'nov-dez-2023' na pasta de trabalho." type="5" refreshedVersion="6" background="1" saveData="1">
    <dbPr connection="Provider=Microsoft.Mashup.OleDb.1;Data Source=$Workbook$;Location=nov-dez-2023;Extended Properties=&quot;&quot;" command="SELECT * FROM [nov-dez-2023]"/>
  </connection>
  <connection id="4" keepAlive="1" name="Consulta - set-out-2023" description="Conexão com a consulta 'set-out-2023' na pasta de trabalho." type="5" refreshedVersion="6" background="1">
    <dbPr connection="Provider=Microsoft.Mashup.OleDb.1;Data Source=$Workbook$;Location=set-out-2023;Extended Properties=&quot;&quot;" command="SELECT * FROM [set-out-2023]"/>
  </connection>
  <connection id="5" keepAlive="1" name="Consulta - set-out-2023-3" description="Conexão com a consulta 'set-out-2023-3' na pasta de trabalho." type="5" refreshedVersion="6" background="1">
    <dbPr connection="Provider=Microsoft.Mashup.OleDb.1;Data Source=$Workbook$;Location=set-out-2023-3;Extended Properties=&quot;&quot;" command="SELECT * FROM [set-out-2023-3]"/>
  </connection>
  <connection id="6" keepAlive="1" name="Consulta - set-out-2023-4" description="Conexão com a consulta 'set-out-2023-4' na pasta de trabalho." type="5" refreshedVersion="6" background="1" saveData="1">
    <dbPr connection="Provider=Microsoft.Mashup.OleDb.1;Data Source=$Workbook$;Location=set-out-2023-4;Extended Properties=&quot;&quot;" command="SELECT * FROM [set-out-2023-4]"/>
  </connection>
</connections>
</file>

<file path=xl/sharedStrings.xml><?xml version="1.0" encoding="utf-8"?>
<sst xmlns="http://schemas.openxmlformats.org/spreadsheetml/2006/main" count="419" uniqueCount="162">
  <si>
    <t>DATAS IMPORTANTES</t>
  </si>
  <si>
    <t>Clique no controle giratório para alterar o ano do calendário</t>
  </si>
  <si>
    <t>Veja o exemplo de uma lojinha com cosméticos!</t>
  </si>
  <si>
    <t>JULHO</t>
  </si>
  <si>
    <t>AGOSTO</t>
  </si>
  <si>
    <t>Data comemorativa: Dia dos Avós</t>
  </si>
  <si>
    <t>DOM</t>
  </si>
  <si>
    <t>SEG</t>
  </si>
  <si>
    <t>TER</t>
  </si>
  <si>
    <t>QUA</t>
  </si>
  <si>
    <t>QUI</t>
  </si>
  <si>
    <t>SEX</t>
  </si>
  <si>
    <t>SÁB</t>
  </si>
  <si>
    <t>Ação proposta</t>
  </si>
  <si>
    <t>Desdobramento ação PESSOAS (TREINAMENTO?)</t>
  </si>
  <si>
    <t xml:space="preserve">Criar três combos de produtos para Avós e Avôs:
a) creme de barbear  (Avô)   +  hidratante para a pele  (Avó)
b) creme de barbear+ loção+perfume  (Avô)
c) escova cabelo + finalizador capilar </t>
  </si>
  <si>
    <t>Treinar a equipe para fazer venda sugestiva.
Treinar equipe para falar do gatilho de promoção.</t>
  </si>
  <si>
    <t>Desdobramento ação LOJA (VITRINE/ENTREGA?)</t>
  </si>
  <si>
    <t>Desdobramento ação DIGITAL (Mídia, Insta, Whats, Ecommerce?)</t>
  </si>
  <si>
    <t>Data</t>
  </si>
  <si>
    <t>Dia</t>
  </si>
  <si>
    <t>Dica</t>
  </si>
  <si>
    <t>Cartaz e tags de preço
Cartaz banner vitrine</t>
  </si>
  <si>
    <t>Copy whatsapp
Calendário de postagens Insta
Produção artes Insta</t>
  </si>
  <si>
    <t xml:space="preserve">Clique 
</t>
  </si>
  <si>
    <t>Dia Mundial do Chocolate</t>
  </si>
  <si>
    <t>Dia da Pizza</t>
  </si>
  <si>
    <t>Data comemorativa:</t>
  </si>
  <si>
    <t>Dia do Comerciante</t>
  </si>
  <si>
    <t>Dia do Feirante</t>
  </si>
  <si>
    <t>Dia do Motociclista</t>
  </si>
  <si>
    <t>Dia do Agricultor</t>
  </si>
  <si>
    <t>Veja o exemplo de um bar!</t>
  </si>
  <si>
    <t>SETEMBRO</t>
  </si>
  <si>
    <t>OUTUBRO</t>
  </si>
  <si>
    <t>Data comemorativa: Dia Nacional Da Cachaça</t>
  </si>
  <si>
    <t>Criar três opções de produtos :
a) Open Cachaças Mineiras
b) Novo Portifólio de Cachaças Artesanais 
c) Degustação de Cachaças para Venda.</t>
  </si>
  <si>
    <t>Treinar a equipe para fazer venda sugestiva.
Treinar equipe para conhecer  específicamente cada bebida.</t>
  </si>
  <si>
    <t>Dia do professor de educação física</t>
  </si>
  <si>
    <t>Dia do florista</t>
  </si>
  <si>
    <t>Dia do biólogo</t>
  </si>
  <si>
    <t>Dia mundial do Taekwondo</t>
  </si>
  <si>
    <t>Dia do irmão</t>
  </si>
  <si>
    <t>Dia do Sexo</t>
  </si>
  <si>
    <t>Dia do Cachorro-quente</t>
  </si>
  <si>
    <t>Dia Nacional da Cachaça</t>
  </si>
  <si>
    <t>Dia do Programador</t>
  </si>
  <si>
    <t>Dia do Cliente</t>
  </si>
  <si>
    <t>Dia do Caminhoneiro</t>
  </si>
  <si>
    <t>Dia da Televisão</t>
  </si>
  <si>
    <t>Dia do Comprador</t>
  </si>
  <si>
    <t>Dia do Professor</t>
  </si>
  <si>
    <t>Dia dos Tios</t>
  </si>
  <si>
    <t>Dia do Fazendeiro</t>
  </si>
  <si>
    <t>Dia do Contador</t>
  </si>
  <si>
    <t>Dia do Sorvete</t>
  </si>
  <si>
    <t>Dia do Rádio</t>
  </si>
  <si>
    <t>Dia dos Primos</t>
  </si>
  <si>
    <t>Dia do Turismo</t>
  </si>
  <si>
    <t>Dia do Encanador</t>
  </si>
  <si>
    <t>Dia da Secretaria</t>
  </si>
  <si>
    <t>Veja o exemplo de uma loja de Roupas!</t>
  </si>
  <si>
    <t>NOVEMBRO</t>
  </si>
  <si>
    <t>DEZEMBRO</t>
  </si>
  <si>
    <t xml:space="preserve">Data comemorativa: Natal </t>
  </si>
  <si>
    <t>Criar uma visualização de produtos:
a) Acessórios próximos aos caixas
b) Peças destaque na vitrine - e a peça destaque localizada ao fundo da loja ( Fazer o cliente se deslocar e analisar os produtos da loja)
c) Bancada com peças em ofertas</t>
  </si>
  <si>
    <t>Copy whatsapp
Calendário de postagens Insta
Produção artes / fotos</t>
  </si>
  <si>
    <t>Dia do veganismo</t>
  </si>
  <si>
    <t>Aniversário de MG</t>
  </si>
  <si>
    <t>Finados</t>
  </si>
  <si>
    <t>Dia da Astronomia</t>
  </si>
  <si>
    <t>Dia do inventor</t>
  </si>
  <si>
    <t>Dia do Delegado de Policia</t>
  </si>
  <si>
    <t>Dia do designer gráfico</t>
  </si>
  <si>
    <t>Dia Mundial da Propaganda</t>
  </si>
  <si>
    <t>Dia da cultura e ciência</t>
  </si>
  <si>
    <t>Dia da Acessibilidade</t>
  </si>
  <si>
    <t>Dia nacional do riso</t>
  </si>
  <si>
    <t>Dia do ótico</t>
  </si>
  <si>
    <t>Dia do hoteleiro</t>
  </si>
  <si>
    <t>Dia do Arquiteto</t>
  </si>
  <si>
    <t>Dia nacional do trigo</t>
  </si>
  <si>
    <t>Dia do Atleta</t>
  </si>
  <si>
    <t>Dia do supermercado</t>
  </si>
  <si>
    <t>Dia da indústria automobilí­stica</t>
  </si>
  <si>
    <t>Dia do Inventor</t>
  </si>
  <si>
    <t>Dia do hip hop</t>
  </si>
  <si>
    <t>Dia mundial da diabetes</t>
  </si>
  <si>
    <t>Dia do joalheiro</t>
  </si>
  <si>
    <t>Dia da criatividade</t>
  </si>
  <si>
    <t>Dia do empreendedorismo</t>
  </si>
  <si>
    <t>Dia do biomédico</t>
  </si>
  <si>
    <t>Dia do músico</t>
  </si>
  <si>
    <t>Black Friday</t>
  </si>
  <si>
    <t>Dia da madrinha</t>
  </si>
  <si>
    <t>Dia do técnico em segurança no trabalho</t>
  </si>
  <si>
    <t>Dia do Vendedor</t>
  </si>
  <si>
    <t>Dia Internacional de Não-Violência</t>
  </si>
  <si>
    <t>Dia do Profissional de Organização</t>
  </si>
  <si>
    <t>Dia da Natureza/ Dia do Barman</t>
  </si>
  <si>
    <t>Dia Nacional da Micro e Pequena Empresa/ Dia do Empreendedor</t>
  </si>
  <si>
    <t>Dia Mundial da Paralisia Celebral</t>
  </si>
  <si>
    <t>Dia do Açougueiro</t>
  </si>
  <si>
    <t>Dia Mundial da Saúde Mental/ Dia Nacional de Luta Contra a Violência da Mulher</t>
  </si>
  <si>
    <t>Dia de Nossa Senhora Aparecida/ Dia das Crianças</t>
  </si>
  <si>
    <t>Dia Mundial da Alimentação</t>
  </si>
  <si>
    <t>Dia da Agricultura/ Dia do Eletricista</t>
  </si>
  <si>
    <t>Dia do Médico/ Dia do Pintor</t>
  </si>
  <si>
    <t>Dia do Profissional de TI/ do Operador de caixa</t>
  </si>
  <si>
    <t>Dia do Maquinista/ Dia do Arquivista</t>
  </si>
  <si>
    <t>Dia do PodCast</t>
  </si>
  <si>
    <t>Dia do Aviador</t>
  </si>
  <si>
    <t>Dia Mundial do Macarrão</t>
  </si>
  <si>
    <t>Dia do Metroviário</t>
  </si>
  <si>
    <t>Dia do Servidor Público</t>
  </si>
  <si>
    <t>Dia Nacional do Livro/ Dia do Cerimonialista</t>
  </si>
  <si>
    <t>Dia do Comércio/ Dia do Balconista</t>
  </si>
  <si>
    <t>Dia das Bruxas (Halloween)</t>
  </si>
  <si>
    <t>Dia Mundial da Amamentação/ Dia Mundial do Câncer de Pulmão (comemora os que se curam da doença)</t>
  </si>
  <si>
    <t>Dia Internacional da Cerveja</t>
  </si>
  <si>
    <t>Dia do Tintureiro/ Dia do Capoeirista</t>
  </si>
  <si>
    <t>Dia Nacional da Saúde</t>
  </si>
  <si>
    <t>Dia Nacional dos Profissionais da Educação</t>
  </si>
  <si>
    <t>Dia Lei Maria da Penha (combate a violência contra a mulher)</t>
  </si>
  <si>
    <t>Dia Interamericano da Qualidade do Ar (2ª sexta-feira do mês)/ Dia Internacional dos Povos Indígenas</t>
  </si>
  <si>
    <t>Dia do Advogado/ Dia do Estudante/ Dia do Garçom</t>
  </si>
  <si>
    <t>Dia dos Pais</t>
  </si>
  <si>
    <t>Dia do Economista/ Dia do Psiquiatra</t>
  </si>
  <si>
    <t>Dia do Cardiologista</t>
  </si>
  <si>
    <t>Dia do Controle da Poluição Industrial</t>
  </si>
  <si>
    <t>Dia da Informática</t>
  </si>
  <si>
    <t>Dia do Auxiliar de Almoxarifado</t>
  </si>
  <si>
    <t>Dia do Estagiário</t>
  </si>
  <si>
    <t>Dia do Historiador/ Mundial da Fotografia</t>
  </si>
  <si>
    <t>Dia Nacional da Infância (o dia mundial é 21/03)</t>
  </si>
  <si>
    <t>Dia Internacional da Igualdade Feminina</t>
  </si>
  <si>
    <t>Dia do Psicólogo</t>
  </si>
  <si>
    <t>Dia dos Bancários/ Dia nacional do Voluntariado</t>
  </si>
  <si>
    <t>Dia Nacional da Visibilidade Lésbica/ Dia Nacional de Combate ao Fumo</t>
  </si>
  <si>
    <t>Dia do Nutricionista</t>
  </si>
  <si>
    <t>Dia Mundial da Arquitetura</t>
  </si>
  <si>
    <t>Dia Nacional de Combate à Discriminação Racial</t>
  </si>
  <si>
    <t>Dia do Operador De Marketing/ Telemarketing</t>
  </si>
  <si>
    <t>Dia Internacional do Cooperativismo ( há também 1º sábado de julho)</t>
  </si>
  <si>
    <t>Aniversário Sebrae</t>
  </si>
  <si>
    <t>Dia do Panificador</t>
  </si>
  <si>
    <t>Dia do Rock/ Dia do Cantor (há também em 27 de Setembro)</t>
  </si>
  <si>
    <t>Dia da Liberdade de Pensamento</t>
  </si>
  <si>
    <t>Dia de Proteção às Florestas</t>
  </si>
  <si>
    <t>Dia Internacional de Nelson Mandela</t>
  </si>
  <si>
    <t>Dia da Caridade</t>
  </si>
  <si>
    <t>Dia Nacional do Futebol</t>
  </si>
  <si>
    <t>Dia do Amigo (18 de abril também) / Dia Nacional do Biscoito</t>
  </si>
  <si>
    <t>Dia Internacional do Trabalho Doméstico</t>
  </si>
  <si>
    <t>Dia Internacional do Autocuidado</t>
  </si>
  <si>
    <t>Dia do Escritor/ Dia do Motorista</t>
  </si>
  <si>
    <t>Abertura das Olimpíadas de Paris 2024</t>
  </si>
  <si>
    <t>Dia Mundial dos Avós</t>
  </si>
  <si>
    <t>Boas-vindas</t>
  </si>
  <si>
    <t xml:space="preserve">Use a IA para te ajudar a criar ações de vendas. </t>
  </si>
  <si>
    <t>clique aqui para calendário com IA</t>
  </si>
  <si>
    <t>Calendário de Vendas 2024 - 2º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</si>
</sst>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R$&quot;\ * #,##0_-;\-&quot;R$&quot;\ * #,##0_-;_-&quot;R$&quot;\ * &quot;-&quot;_-;_-@_-"/>
    <numFmt numFmtId="44" formatCode="_-&quot;R$&quot;\ * #,##0.00_-;\-&quot;R$&quot;\ * #,##0.00_-;_-&quot;R$&quot;\ * &quot;-&quot;??_-;_-@_-"/>
    <numFmt numFmtId="164" formatCode="_(* #,##0_);_(* \(#,##0\);_(* &quot;-&quot;_);_(@_)"/>
    <numFmt numFmtId="165" formatCode="_(* #,##0.00_);_(* \(#,##0.00\);_(* &quot;-&quot;??_);_(@_)"/>
    <numFmt numFmtId="166" formatCode="d"/>
  </numFmts>
  <fonts count="49" x14ac:knownFonts="1">
    <font>
      <sz val="8"/>
      <color theme="1"/>
      <name val="Calibri"/>
      <family val="2"/>
      <scheme val="minor"/>
    </font>
    <font>
      <sz val="11"/>
      <color theme="1"/>
      <name val="Calibri"/>
      <family val="2"/>
      <scheme val="minor"/>
    </font>
    <font>
      <b/>
      <sz val="26"/>
      <color theme="0"/>
      <name val="Calibri"/>
      <family val="2"/>
      <scheme val="major"/>
    </font>
    <font>
      <sz val="8"/>
      <color theme="0"/>
      <name val="Calibri"/>
      <family val="2"/>
      <scheme val="minor"/>
    </font>
    <font>
      <b/>
      <sz val="13.5"/>
      <color theme="0"/>
      <name val="Calibri"/>
      <family val="2"/>
      <scheme val="major"/>
    </font>
    <font>
      <sz val="9"/>
      <color theme="1" tint="0.14999847407452621"/>
      <name val="Calibri"/>
      <family val="2"/>
      <scheme val="minor"/>
    </font>
    <font>
      <b/>
      <sz val="9.5"/>
      <color theme="8" tint="-0.499984740745262"/>
      <name val="Calibri"/>
      <family val="2"/>
      <scheme val="major"/>
    </font>
    <font>
      <b/>
      <sz val="8"/>
      <color theme="1" tint="0.34998626667073579"/>
      <name val="Calibri"/>
      <family val="2"/>
      <scheme val="minor"/>
    </font>
    <font>
      <b/>
      <sz val="13"/>
      <color theme="3"/>
      <name val="Calibri"/>
      <family val="2"/>
      <scheme val="minor"/>
    </font>
    <font>
      <b/>
      <sz val="11"/>
      <color theme="1"/>
      <name val="Calibri"/>
      <family val="2"/>
      <scheme val="minor"/>
    </font>
    <font>
      <sz val="11"/>
      <color theme="0"/>
      <name val="Calibri"/>
      <family val="2"/>
      <scheme val="minor"/>
    </font>
    <font>
      <b/>
      <sz val="16"/>
      <color theme="0"/>
      <name val="Calibri"/>
      <family val="2"/>
      <scheme val="major"/>
    </font>
    <font>
      <sz val="8"/>
      <color theme="1"/>
      <name val="Calibri"/>
      <family val="2"/>
      <scheme val="minor"/>
    </font>
    <font>
      <sz val="18"/>
      <color theme="3"/>
      <name val="Calibri"/>
      <family val="2"/>
      <scheme val="major"/>
    </font>
    <font>
      <b/>
      <sz val="15"/>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i/>
      <sz val="10"/>
      <color rgb="FF002060"/>
      <name val="Calibri"/>
      <family val="2"/>
      <scheme val="minor"/>
    </font>
    <font>
      <b/>
      <sz val="9.5"/>
      <color rgb="FF002060"/>
      <name val="Calibri"/>
      <family val="2"/>
      <scheme val="major"/>
    </font>
    <font>
      <sz val="8"/>
      <color rgb="FF002060"/>
      <name val="Calibri"/>
      <family val="2"/>
      <scheme val="minor"/>
    </font>
    <font>
      <sz val="8"/>
      <color rgb="FFDC8424"/>
      <name val="Calibri"/>
      <family val="2"/>
      <scheme val="minor"/>
    </font>
    <font>
      <b/>
      <sz val="9"/>
      <color rgb="FF002060"/>
      <name val="Calibri"/>
      <family val="2"/>
      <scheme val="minor"/>
    </font>
    <font>
      <b/>
      <sz val="8"/>
      <color rgb="FF002060"/>
      <name val="Calibri"/>
      <family val="2"/>
      <scheme val="minor"/>
    </font>
    <font>
      <b/>
      <sz val="8"/>
      <color theme="0"/>
      <name val="Calibri"/>
      <family val="2"/>
      <scheme val="minor"/>
    </font>
    <font>
      <sz val="11"/>
      <color rgb="FF000000"/>
      <name val="Calibri"/>
      <family val="2"/>
      <scheme val="minor"/>
    </font>
    <font>
      <b/>
      <sz val="22"/>
      <color theme="0"/>
      <name val="Calibri"/>
      <family val="2"/>
      <scheme val="major"/>
    </font>
    <font>
      <sz val="28"/>
      <color theme="1"/>
      <name val="Calibri"/>
      <family val="2"/>
      <scheme val="minor"/>
    </font>
    <font>
      <b/>
      <sz val="28"/>
      <color theme="0"/>
      <name val="Calibri"/>
      <family val="2"/>
      <scheme val="minor"/>
    </font>
    <font>
      <b/>
      <sz val="12"/>
      <color theme="3" tint="-0.249977111117893"/>
      <name val="Calibri"/>
      <family val="2"/>
      <scheme val="minor"/>
    </font>
    <font>
      <sz val="9"/>
      <color theme="3" tint="-0.249977111117893"/>
      <name val="Calibri"/>
      <family val="2"/>
      <scheme val="minor"/>
    </font>
    <font>
      <sz val="8"/>
      <color rgb="FF0070C0"/>
      <name val="Calibri"/>
      <family val="2"/>
      <scheme val="minor"/>
    </font>
    <font>
      <sz val="8"/>
      <color theme="3" tint="-0.249977111117893"/>
      <name val="Calibri"/>
      <family val="2"/>
      <scheme val="minor"/>
    </font>
    <font>
      <b/>
      <sz val="9.5"/>
      <color theme="3" tint="-0.249977111117893"/>
      <name val="Calibri"/>
      <family val="2"/>
      <scheme val="major"/>
    </font>
    <font>
      <i/>
      <sz val="10"/>
      <color theme="3" tint="-0.249977111117893"/>
      <name val="Calibri"/>
      <family val="2"/>
      <scheme val="minor"/>
    </font>
    <font>
      <b/>
      <sz val="9"/>
      <color theme="0"/>
      <name val="Calibri"/>
      <family val="2"/>
      <scheme val="minor"/>
    </font>
    <font>
      <sz val="9"/>
      <color indexed="81"/>
      <name val="Segoe UI"/>
      <charset val="1"/>
    </font>
    <font>
      <sz val="10"/>
      <color rgb="FF000000"/>
      <name val="Calibri"/>
      <scheme val="minor"/>
    </font>
    <font>
      <u/>
      <sz val="8"/>
      <color theme="10"/>
      <name val="Calibri"/>
      <family val="2"/>
      <scheme val="minor"/>
    </font>
    <font>
      <u/>
      <sz val="11"/>
      <color rgb="FF0070C0"/>
      <name val="Calibri"/>
      <family val="2"/>
      <scheme val="minor"/>
    </font>
    <font>
      <b/>
      <sz val="9"/>
      <color theme="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rgb="FF00B0F0"/>
        <bgColor indexed="64"/>
      </patternFill>
    </fill>
    <fill>
      <patternFill patternType="solid">
        <fgColor rgb="FFDA64A7"/>
        <bgColor indexed="64"/>
      </patternFill>
    </fill>
    <fill>
      <patternFill patternType="solid">
        <fgColor theme="0"/>
        <bgColor theme="9"/>
      </patternFill>
    </fill>
    <fill>
      <patternFill patternType="solid">
        <fgColor theme="0"/>
        <bgColor theme="9" tint="0.79998168889431442"/>
      </patternFill>
    </fill>
    <fill>
      <patternFill patternType="solid">
        <fgColor rgb="FF0070C0"/>
        <bgColor indexed="64"/>
      </patternFill>
    </fill>
    <fill>
      <patternFill patternType="solid">
        <fgColor rgb="FFFFC000"/>
        <bgColor indexed="64"/>
      </patternFill>
    </fill>
  </fills>
  <borders count="41">
    <border>
      <left/>
      <right/>
      <top/>
      <bottom/>
      <diagonal/>
    </border>
    <border>
      <left/>
      <right/>
      <top/>
      <bottom style="thick">
        <color theme="4" tint="0.499984740745262"/>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2060"/>
      </right>
      <top/>
      <bottom/>
      <diagonal/>
    </border>
    <border>
      <left/>
      <right/>
      <top/>
      <bottom style="thin">
        <color rgb="FF002060"/>
      </bottom>
      <diagonal/>
    </border>
    <border>
      <left/>
      <right style="thin">
        <color rgb="FF002060"/>
      </right>
      <top style="thin">
        <color rgb="FF002060"/>
      </top>
      <bottom/>
      <diagonal/>
    </border>
    <border>
      <left/>
      <right style="thin">
        <color rgb="FF002060"/>
      </right>
      <top/>
      <bottom style="thin">
        <color rgb="FF002060"/>
      </bottom>
      <diagonal/>
    </border>
    <border>
      <left style="thin">
        <color rgb="FF002060"/>
      </left>
      <right/>
      <top/>
      <bottom/>
      <diagonal/>
    </border>
    <border>
      <left style="thin">
        <color rgb="FF002060"/>
      </left>
      <right/>
      <top/>
      <bottom style="thin">
        <color rgb="FF002060"/>
      </bottom>
      <diagonal/>
    </border>
    <border>
      <left style="thin">
        <color rgb="FF002060"/>
      </left>
      <right/>
      <top style="thin">
        <color rgb="FF002060"/>
      </top>
      <bottom/>
      <diagonal/>
    </border>
    <border>
      <left/>
      <right/>
      <top style="thin">
        <color rgb="FF002060"/>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bottom style="thin">
        <color theme="9" tint="0.39997558519241921"/>
      </bottom>
      <diagonal/>
    </border>
    <border>
      <left/>
      <right/>
      <top style="thin">
        <color theme="9" tint="0.39997558519241921"/>
      </top>
      <bottom/>
      <diagonal/>
    </border>
    <border>
      <left style="thin">
        <color theme="9" tint="0.39997558519241921"/>
      </left>
      <right/>
      <top/>
      <bottom/>
      <diagonal/>
    </border>
    <border>
      <left/>
      <right style="thin">
        <color rgb="FFDC8424"/>
      </right>
      <top style="thin">
        <color theme="9" tint="0.39997558519241921"/>
      </top>
      <bottom style="thin">
        <color theme="9" tint="0.39997558519241921"/>
      </bottom>
      <diagonal/>
    </border>
    <border>
      <left style="thin">
        <color rgb="FFDC8424"/>
      </left>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right style="thin">
        <color theme="9" tint="0.39997558519241921"/>
      </right>
      <top/>
      <bottom/>
      <diagonal/>
    </border>
    <border>
      <left style="thin">
        <color theme="9" tint="0.39997558519241921"/>
      </left>
      <right/>
      <top style="thin">
        <color theme="9" tint="0.39997558519241921"/>
      </top>
      <bottom/>
      <diagonal/>
    </border>
    <border>
      <left/>
      <right/>
      <top/>
      <bottom style="thin">
        <color rgb="FFDC8424"/>
      </bottom>
      <diagonal/>
    </border>
  </borders>
  <cellStyleXfs count="49">
    <xf numFmtId="0" fontId="0" fillId="0" borderId="0"/>
    <xf numFmtId="0" fontId="8" fillId="0" borderId="1" applyNumberFormat="0" applyFill="0" applyAlignment="0" applyProtection="0"/>
    <xf numFmtId="165"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4" applyNumberFormat="0" applyAlignment="0" applyProtection="0"/>
    <xf numFmtId="0" fontId="20" fillId="6" borderId="5" applyNumberFormat="0" applyAlignment="0" applyProtection="0"/>
    <xf numFmtId="0" fontId="21" fillId="6" borderId="4" applyNumberFormat="0" applyAlignment="0" applyProtection="0"/>
    <xf numFmtId="0" fontId="22" fillId="0" borderId="6" applyNumberFormat="0" applyFill="0" applyAlignment="0" applyProtection="0"/>
    <xf numFmtId="0" fontId="23" fillId="7" borderId="7" applyNumberFormat="0" applyAlignment="0" applyProtection="0"/>
    <xf numFmtId="0" fontId="24" fillId="0" borderId="0" applyNumberFormat="0" applyFill="0" applyBorder="0" applyAlignment="0" applyProtection="0"/>
    <xf numFmtId="0" fontId="12" fillId="8" borderId="8" applyNumberFormat="0" applyFont="0" applyAlignment="0" applyProtection="0"/>
    <xf numFmtId="0" fontId="25" fillId="0" borderId="0" applyNumberFormat="0" applyFill="0" applyBorder="0" applyAlignment="0" applyProtection="0"/>
    <xf numFmtId="0" fontId="9" fillId="0" borderId="9" applyNumberFormat="0" applyFill="0" applyAlignment="0" applyProtection="0"/>
    <xf numFmtId="0" fontId="1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5" fillId="0" borderId="0"/>
    <xf numFmtId="0" fontId="46" fillId="0" borderId="0" applyNumberFormat="0" applyFill="0" applyBorder="0" applyAlignment="0" applyProtection="0"/>
  </cellStyleXfs>
  <cellXfs count="187">
    <xf numFmtId="0" fontId="0" fillId="0" borderId="0" xfId="0"/>
    <xf numFmtId="49" fontId="0" fillId="0" borderId="0" xfId="0" applyNumberFormat="1"/>
    <xf numFmtId="49" fontId="5" fillId="0" borderId="0" xfId="0" applyNumberFormat="1" applyFont="1" applyAlignment="1">
      <alignment horizontal="left"/>
    </xf>
    <xf numFmtId="0" fontId="7" fillId="0" borderId="0" xfId="0" applyFont="1" applyAlignment="1">
      <alignment horizontal="center"/>
    </xf>
    <xf numFmtId="0" fontId="3" fillId="0" borderId="0" xfId="0" applyFont="1"/>
    <xf numFmtId="0" fontId="0" fillId="0" borderId="0" xfId="0" applyAlignment="1">
      <alignment horizontal="center"/>
    </xf>
    <xf numFmtId="0" fontId="0" fillId="0" borderId="0" xfId="0" applyAlignment="1">
      <alignment vertical="center"/>
    </xf>
    <xf numFmtId="166" fontId="0" fillId="0" borderId="0" xfId="0" applyNumberFormat="1" applyAlignment="1">
      <alignment horizontal="center"/>
    </xf>
    <xf numFmtId="0" fontId="0" fillId="0" borderId="19" xfId="0" applyBorder="1"/>
    <xf numFmtId="0" fontId="0" fillId="34" borderId="0" xfId="0" applyFill="1"/>
    <xf numFmtId="0" fontId="28" fillId="0" borderId="0" xfId="0" applyFont="1" applyAlignment="1">
      <alignment horizontal="center"/>
    </xf>
    <xf numFmtId="49" fontId="30" fillId="0" borderId="0" xfId="0" applyNumberFormat="1" applyFont="1" applyAlignment="1">
      <alignment wrapText="1"/>
    </xf>
    <xf numFmtId="0" fontId="28" fillId="0" borderId="0" xfId="0" applyFont="1"/>
    <xf numFmtId="0" fontId="31" fillId="0" borderId="0" xfId="0" applyFont="1"/>
    <xf numFmtId="0" fontId="3" fillId="34" borderId="0" xfId="0" applyFont="1" applyFill="1"/>
    <xf numFmtId="0" fontId="29" fillId="35" borderId="19" xfId="0" applyFont="1" applyFill="1" applyBorder="1"/>
    <xf numFmtId="166" fontId="29" fillId="35" borderId="19" xfId="0" applyNumberFormat="1" applyFont="1" applyFill="1" applyBorder="1" applyAlignment="1">
      <alignment horizontal="center"/>
    </xf>
    <xf numFmtId="0" fontId="0" fillId="35" borderId="0" xfId="0" applyFill="1"/>
    <xf numFmtId="0" fontId="28" fillId="35" borderId="0" xfId="0" applyFont="1" applyFill="1"/>
    <xf numFmtId="0" fontId="33" fillId="0" borderId="0" xfId="0" applyFont="1"/>
    <xf numFmtId="49" fontId="30" fillId="0" borderId="0" xfId="0" applyNumberFormat="1" applyFont="1"/>
    <xf numFmtId="0" fontId="0" fillId="0" borderId="14" xfId="0" applyBorder="1"/>
    <xf numFmtId="0" fontId="0" fillId="0" borderId="22" xfId="0" applyBorder="1"/>
    <xf numFmtId="0" fontId="0" fillId="0" borderId="22" xfId="0" applyBorder="1" applyAlignment="1">
      <alignment horizontal="center"/>
    </xf>
    <xf numFmtId="0" fontId="0" fillId="34" borderId="0" xfId="0" applyFill="1" applyAlignment="1">
      <alignment vertical="center"/>
    </xf>
    <xf numFmtId="0" fontId="0" fillId="35" borderId="0" xfId="0" applyFill="1" applyAlignment="1">
      <alignment horizontal="left" vertical="top"/>
    </xf>
    <xf numFmtId="0" fontId="32" fillId="36" borderId="29" xfId="0" applyFont="1" applyFill="1" applyBorder="1"/>
    <xf numFmtId="0" fontId="32" fillId="36" borderId="30" xfId="0" applyFont="1" applyFill="1" applyBorder="1"/>
    <xf numFmtId="0" fontId="32" fillId="36" borderId="31" xfId="0" applyFont="1" applyFill="1" applyBorder="1"/>
    <xf numFmtId="0" fontId="0" fillId="37" borderId="29" xfId="0" applyFill="1" applyBorder="1"/>
    <xf numFmtId="14" fontId="0" fillId="37" borderId="30" xfId="0" applyNumberFormat="1" applyFill="1" applyBorder="1"/>
    <xf numFmtId="0" fontId="0" fillId="37" borderId="31" xfId="0" applyFill="1" applyBorder="1"/>
    <xf numFmtId="0" fontId="0" fillId="0" borderId="29" xfId="0" applyBorder="1"/>
    <xf numFmtId="14" fontId="0" fillId="0" borderId="30" xfId="0" applyNumberFormat="1" applyBorder="1"/>
    <xf numFmtId="0" fontId="0" fillId="0" borderId="31" xfId="0" applyBorder="1"/>
    <xf numFmtId="0" fontId="0" fillId="37" borderId="0" xfId="0" applyFill="1"/>
    <xf numFmtId="14" fontId="0" fillId="37" borderId="0" xfId="0" applyNumberFormat="1" applyFill="1"/>
    <xf numFmtId="0" fontId="0" fillId="39" borderId="0" xfId="0" applyFill="1"/>
    <xf numFmtId="0" fontId="3" fillId="39" borderId="0" xfId="0" applyFont="1" applyFill="1"/>
    <xf numFmtId="0" fontId="3" fillId="34" borderId="0" xfId="0" applyFont="1" applyFill="1" applyAlignment="1">
      <alignment vertical="center"/>
    </xf>
    <xf numFmtId="0" fontId="3" fillId="35" borderId="0" xfId="0" applyFont="1" applyFill="1"/>
    <xf numFmtId="0" fontId="10" fillId="35" borderId="0" xfId="0" applyFont="1" applyFill="1" applyAlignment="1">
      <alignment vertical="center" wrapText="1"/>
    </xf>
    <xf numFmtId="0" fontId="3" fillId="35" borderId="0" xfId="0" applyFont="1" applyFill="1" applyAlignment="1">
      <alignment vertical="center"/>
    </xf>
    <xf numFmtId="0" fontId="0" fillId="38" borderId="0" xfId="0" applyFill="1"/>
    <xf numFmtId="166" fontId="3" fillId="38" borderId="0" xfId="0" applyNumberFormat="1" applyFont="1" applyFill="1" applyAlignment="1">
      <alignment horizontal="center"/>
    </xf>
    <xf numFmtId="0" fontId="3" fillId="38" borderId="0" xfId="0" applyFont="1" applyFill="1" applyAlignment="1">
      <alignment wrapText="1"/>
    </xf>
    <xf numFmtId="0" fontId="10" fillId="38" borderId="0" xfId="0" applyFont="1" applyFill="1" applyAlignment="1">
      <alignment vertical="center"/>
    </xf>
    <xf numFmtId="0" fontId="3" fillId="38" borderId="0" xfId="0" applyFont="1" applyFill="1"/>
    <xf numFmtId="0" fontId="10" fillId="38" borderId="22" xfId="0" applyFont="1" applyFill="1" applyBorder="1" applyAlignment="1">
      <alignment vertical="center"/>
    </xf>
    <xf numFmtId="0" fontId="33" fillId="0" borderId="31" xfId="0" applyFont="1" applyBorder="1"/>
    <xf numFmtId="166" fontId="32" fillId="38" borderId="0" xfId="0" applyNumberFormat="1" applyFont="1" applyFill="1" applyAlignment="1">
      <alignment horizontal="center"/>
    </xf>
    <xf numFmtId="49" fontId="37" fillId="0" borderId="0" xfId="0" applyNumberFormat="1" applyFont="1"/>
    <xf numFmtId="49" fontId="38" fillId="0" borderId="0" xfId="0" applyNumberFormat="1" applyFont="1"/>
    <xf numFmtId="0" fontId="40" fillId="0" borderId="0" xfId="0" applyFont="1"/>
    <xf numFmtId="0" fontId="40" fillId="0" borderId="0" xfId="0" applyFont="1" applyAlignment="1">
      <alignment horizontal="center"/>
    </xf>
    <xf numFmtId="49" fontId="43" fillId="39" borderId="0" xfId="0" applyNumberFormat="1" applyFont="1" applyFill="1" applyAlignment="1">
      <alignment wrapText="1"/>
    </xf>
    <xf numFmtId="49" fontId="3" fillId="39" borderId="0" xfId="0" applyNumberFormat="1" applyFont="1" applyFill="1"/>
    <xf numFmtId="0" fontId="3" fillId="38" borderId="14" xfId="0" applyFont="1" applyFill="1" applyBorder="1"/>
    <xf numFmtId="49" fontId="43" fillId="38" borderId="0" xfId="0" applyNumberFormat="1" applyFont="1" applyFill="1" applyAlignment="1">
      <alignment wrapText="1"/>
    </xf>
    <xf numFmtId="49" fontId="3" fillId="38" borderId="0" xfId="0" applyNumberFormat="1" applyFont="1" applyFill="1"/>
    <xf numFmtId="0" fontId="3" fillId="0" borderId="19" xfId="0" applyFont="1" applyBorder="1"/>
    <xf numFmtId="0" fontId="3" fillId="39" borderId="14" xfId="0" applyFont="1" applyFill="1" applyBorder="1"/>
    <xf numFmtId="0" fontId="40" fillId="35" borderId="0" xfId="0" applyFont="1" applyFill="1"/>
    <xf numFmtId="49" fontId="37" fillId="35" borderId="0" xfId="0" applyNumberFormat="1" applyFont="1" applyFill="1" applyAlignment="1">
      <alignment horizontal="left"/>
    </xf>
    <xf numFmtId="49" fontId="37" fillId="35" borderId="0" xfId="0" applyNumberFormat="1" applyFont="1" applyFill="1"/>
    <xf numFmtId="49" fontId="37" fillId="0" borderId="0" xfId="0" applyNumberFormat="1" applyFont="1" applyAlignment="1">
      <alignment horizontal="left"/>
    </xf>
    <xf numFmtId="0" fontId="31" fillId="35" borderId="0" xfId="0" applyFont="1" applyFill="1"/>
    <xf numFmtId="0" fontId="0" fillId="35" borderId="23" xfId="0" applyFill="1" applyBorder="1" applyAlignment="1">
      <alignment horizontal="left" vertical="top"/>
    </xf>
    <xf numFmtId="0" fontId="0" fillId="35" borderId="21" xfId="0" applyFill="1" applyBorder="1" applyAlignment="1">
      <alignment horizontal="left" vertical="top"/>
    </xf>
    <xf numFmtId="0" fontId="0" fillId="35" borderId="24" xfId="0" applyFill="1" applyBorder="1" applyAlignment="1">
      <alignment horizontal="left" vertical="top"/>
    </xf>
    <xf numFmtId="0" fontId="3" fillId="35" borderId="0" xfId="0" applyFont="1" applyFill="1" applyAlignment="1">
      <alignment horizontal="left" vertical="top"/>
    </xf>
    <xf numFmtId="0" fontId="40" fillId="35" borderId="0" xfId="0" applyFont="1" applyFill="1" applyAlignment="1">
      <alignment horizontal="center"/>
    </xf>
    <xf numFmtId="166" fontId="0" fillId="0" borderId="0" xfId="0" applyNumberFormat="1" applyAlignment="1">
      <alignment horizontal="left"/>
    </xf>
    <xf numFmtId="0" fontId="0" fillId="37" borderId="34" xfId="0" applyFill="1" applyBorder="1" applyAlignment="1">
      <alignment vertical="top" wrapText="1"/>
    </xf>
    <xf numFmtId="0" fontId="0" fillId="41" borderId="0" xfId="0" applyFill="1" applyAlignment="1">
      <alignment vertical="top" wrapText="1"/>
    </xf>
    <xf numFmtId="0" fontId="32" fillId="40" borderId="0" xfId="0" applyFont="1" applyFill="1"/>
    <xf numFmtId="0" fontId="0" fillId="41" borderId="0" xfId="0" applyFill="1"/>
    <xf numFmtId="0" fontId="33" fillId="35" borderId="0" xfId="0" applyFont="1" applyFill="1"/>
    <xf numFmtId="166" fontId="0" fillId="35" borderId="0" xfId="0" applyNumberFormat="1" applyFill="1" applyAlignment="1">
      <alignment horizontal="center"/>
    </xf>
    <xf numFmtId="0" fontId="7" fillId="35" borderId="0" xfId="0" applyFont="1" applyFill="1" applyAlignment="1">
      <alignment horizontal="center"/>
    </xf>
    <xf numFmtId="0" fontId="32" fillId="36" borderId="0" xfId="0" applyFont="1" applyFill="1"/>
    <xf numFmtId="14" fontId="0" fillId="37" borderId="35" xfId="0" applyNumberFormat="1" applyFill="1" applyBorder="1" applyAlignment="1">
      <alignment horizontal="center" wrapText="1"/>
    </xf>
    <xf numFmtId="14" fontId="0" fillId="37" borderId="35" xfId="0" applyNumberFormat="1" applyFill="1" applyBorder="1"/>
    <xf numFmtId="14" fontId="0" fillId="0" borderId="35" xfId="0" applyNumberFormat="1" applyBorder="1"/>
    <xf numFmtId="0" fontId="0" fillId="37" borderId="39" xfId="0" applyFill="1" applyBorder="1"/>
    <xf numFmtId="0" fontId="0" fillId="37" borderId="32" xfId="0" applyFill="1" applyBorder="1"/>
    <xf numFmtId="0" fontId="0" fillId="0" borderId="32" xfId="0" applyBorder="1"/>
    <xf numFmtId="0" fontId="0" fillId="37" borderId="40" xfId="0" applyFill="1" applyBorder="1"/>
    <xf numFmtId="0" fontId="0" fillId="0" borderId="40" xfId="0" applyBorder="1"/>
    <xf numFmtId="14" fontId="0" fillId="37" borderId="33" xfId="0" applyNumberFormat="1" applyFill="1" applyBorder="1" applyAlignment="1"/>
    <xf numFmtId="14" fontId="0" fillId="37" borderId="30" xfId="0" applyNumberFormat="1" applyFill="1" applyBorder="1" applyAlignment="1"/>
    <xf numFmtId="14" fontId="0" fillId="0" borderId="30" xfId="0" applyNumberFormat="1" applyBorder="1" applyAlignment="1"/>
    <xf numFmtId="14" fontId="0" fillId="37" borderId="37" xfId="0" applyNumberFormat="1" applyFill="1" applyBorder="1" applyAlignment="1"/>
    <xf numFmtId="14" fontId="0" fillId="0" borderId="0" xfId="0" applyNumberFormat="1" applyAlignment="1"/>
    <xf numFmtId="14" fontId="0" fillId="0" borderId="38" xfId="0" applyNumberFormat="1" applyBorder="1" applyAlignment="1"/>
    <xf numFmtId="14" fontId="0" fillId="37" borderId="0" xfId="0" applyNumberFormat="1" applyFill="1" applyAlignment="1"/>
    <xf numFmtId="14" fontId="0" fillId="37" borderId="38" xfId="0" applyNumberFormat="1" applyFill="1" applyBorder="1" applyAlignment="1"/>
    <xf numFmtId="14" fontId="0" fillId="0" borderId="36" xfId="0" applyNumberFormat="1" applyBorder="1" applyAlignment="1"/>
    <xf numFmtId="14" fontId="0" fillId="0" borderId="31" xfId="0" applyNumberFormat="1" applyBorder="1" applyAlignment="1"/>
    <xf numFmtId="14" fontId="0" fillId="37" borderId="36" xfId="0" applyNumberFormat="1" applyFill="1" applyBorder="1" applyAlignment="1"/>
    <xf numFmtId="14" fontId="0" fillId="37" borderId="31" xfId="0" applyNumberFormat="1" applyFill="1" applyBorder="1" applyAlignment="1"/>
    <xf numFmtId="14" fontId="0" fillId="37" borderId="36" xfId="0" applyNumberFormat="1" applyFill="1" applyBorder="1" applyAlignment="1">
      <alignment wrapText="1"/>
    </xf>
    <xf numFmtId="14" fontId="0" fillId="37" borderId="31" xfId="0" applyNumberFormat="1" applyFill="1" applyBorder="1" applyAlignment="1">
      <alignment wrapText="1"/>
    </xf>
    <xf numFmtId="14" fontId="0" fillId="0" borderId="29" xfId="0" applyNumberFormat="1" applyBorder="1" applyAlignment="1"/>
    <xf numFmtId="14" fontId="0" fillId="37" borderId="29" xfId="0" applyNumberFormat="1" applyFill="1" applyBorder="1" applyAlignment="1"/>
    <xf numFmtId="0" fontId="47" fillId="0" borderId="0" xfId="48" applyFont="1" applyAlignment="1">
      <alignment horizontal="right"/>
    </xf>
    <xf numFmtId="0" fontId="48" fillId="0" borderId="0" xfId="0" applyFont="1"/>
    <xf numFmtId="0" fontId="3" fillId="43" borderId="0" xfId="0" applyFont="1" applyFill="1" applyAlignment="1">
      <alignment wrapText="1"/>
    </xf>
    <xf numFmtId="0" fontId="0" fillId="43" borderId="0" xfId="0" applyFill="1"/>
    <xf numFmtId="0" fontId="3" fillId="42" borderId="0" xfId="0" applyFont="1" applyFill="1" applyAlignment="1">
      <alignment wrapText="1"/>
    </xf>
    <xf numFmtId="0" fontId="0" fillId="42" borderId="0" xfId="0" applyFill="1"/>
    <xf numFmtId="0" fontId="34" fillId="43" borderId="0" xfId="1" applyFont="1" applyFill="1" applyBorder="1" applyAlignment="1">
      <alignment horizontal="center" vertical="center"/>
    </xf>
    <xf numFmtId="0" fontId="11" fillId="43" borderId="0" xfId="1" applyFont="1" applyFill="1" applyBorder="1" applyAlignment="1">
      <alignment horizontal="center" vertical="center"/>
    </xf>
    <xf numFmtId="0" fontId="36" fillId="42" borderId="0" xfId="0" applyFont="1" applyFill="1" applyAlignment="1">
      <alignment horizontal="center"/>
    </xf>
    <xf numFmtId="0" fontId="35" fillId="42" borderId="0" xfId="0" applyFont="1" applyFill="1" applyAlignment="1">
      <alignment horizontal="center"/>
    </xf>
    <xf numFmtId="49" fontId="3" fillId="35" borderId="10" xfId="0" applyNumberFormat="1" applyFont="1" applyFill="1" applyBorder="1" applyAlignment="1">
      <alignment horizontal="left" vertical="top" wrapText="1"/>
    </xf>
    <xf numFmtId="49" fontId="3" fillId="35" borderId="11" xfId="0" applyNumberFormat="1" applyFont="1" applyFill="1" applyBorder="1" applyAlignment="1">
      <alignment horizontal="left" vertical="top"/>
    </xf>
    <xf numFmtId="49" fontId="3" fillId="35" borderId="12" xfId="0" applyNumberFormat="1" applyFont="1" applyFill="1" applyBorder="1" applyAlignment="1">
      <alignment horizontal="left" vertical="top"/>
    </xf>
    <xf numFmtId="0" fontId="3" fillId="35" borderId="13" xfId="0" applyFont="1" applyFill="1" applyBorder="1" applyAlignment="1">
      <alignment horizontal="left" vertical="top" wrapText="1"/>
    </xf>
    <xf numFmtId="0" fontId="3" fillId="35" borderId="14" xfId="0" applyFont="1" applyFill="1" applyBorder="1" applyAlignment="1">
      <alignment horizontal="left" vertical="top"/>
    </xf>
    <xf numFmtId="0" fontId="3" fillId="35" borderId="15" xfId="0" applyFont="1" applyFill="1" applyBorder="1" applyAlignment="1">
      <alignment horizontal="left" vertical="top"/>
    </xf>
    <xf numFmtId="0" fontId="3" fillId="35" borderId="16" xfId="0" applyFont="1" applyFill="1" applyBorder="1" applyAlignment="1">
      <alignment horizontal="left" vertical="top"/>
    </xf>
    <xf numFmtId="0" fontId="3" fillId="35" borderId="0" xfId="0" applyFont="1" applyFill="1" applyAlignment="1">
      <alignment horizontal="left" vertical="top"/>
    </xf>
    <xf numFmtId="0" fontId="3" fillId="35" borderId="17" xfId="0" applyFont="1" applyFill="1" applyBorder="1" applyAlignment="1">
      <alignment horizontal="left" vertical="top"/>
    </xf>
    <xf numFmtId="0" fontId="3" fillId="35" borderId="18" xfId="0" applyFont="1" applyFill="1" applyBorder="1" applyAlignment="1">
      <alignment horizontal="left" vertical="top"/>
    </xf>
    <xf numFmtId="0" fontId="3" fillId="35" borderId="19" xfId="0" applyFont="1" applyFill="1" applyBorder="1" applyAlignment="1">
      <alignment horizontal="left" vertical="top"/>
    </xf>
    <xf numFmtId="0" fontId="3" fillId="35" borderId="20" xfId="0" applyFont="1" applyFill="1" applyBorder="1" applyAlignment="1">
      <alignment horizontal="left" vertical="top"/>
    </xf>
    <xf numFmtId="0" fontId="3" fillId="35" borderId="10" xfId="0" applyFont="1" applyFill="1" applyBorder="1" applyAlignment="1">
      <alignment horizontal="left" vertical="top" wrapText="1"/>
    </xf>
    <xf numFmtId="0" fontId="3" fillId="35" borderId="11" xfId="0" applyFont="1" applyFill="1" applyBorder="1" applyAlignment="1">
      <alignment horizontal="left" vertical="top"/>
    </xf>
    <xf numFmtId="0" fontId="3" fillId="35" borderId="12" xfId="0" applyFont="1" applyFill="1" applyBorder="1" applyAlignment="1">
      <alignment horizontal="left" vertical="top"/>
    </xf>
    <xf numFmtId="0" fontId="39" fillId="33" borderId="27" xfId="0" applyFont="1" applyFill="1" applyBorder="1" applyAlignment="1">
      <alignment horizontal="left" vertical="top" wrapText="1"/>
    </xf>
    <xf numFmtId="0" fontId="39" fillId="33" borderId="28" xfId="0" applyFont="1" applyFill="1" applyBorder="1" applyAlignment="1">
      <alignment horizontal="left" vertical="top" wrapText="1"/>
    </xf>
    <xf numFmtId="0" fontId="39" fillId="33" borderId="25" xfId="0" applyFont="1" applyFill="1" applyBorder="1" applyAlignment="1">
      <alignment horizontal="left" vertical="top" wrapText="1"/>
    </xf>
    <xf numFmtId="0" fontId="39" fillId="33" borderId="0" xfId="0" applyFont="1" applyFill="1" applyAlignment="1">
      <alignment horizontal="left" vertical="top" wrapText="1"/>
    </xf>
    <xf numFmtId="0" fontId="39" fillId="33" borderId="26" xfId="0" applyFont="1" applyFill="1" applyBorder="1" applyAlignment="1">
      <alignment horizontal="left" vertical="top" wrapText="1"/>
    </xf>
    <xf numFmtId="0" fontId="39" fillId="33" borderId="22" xfId="0" applyFont="1" applyFill="1" applyBorder="1" applyAlignment="1">
      <alignment horizontal="left" vertical="top" wrapText="1"/>
    </xf>
    <xf numFmtId="0" fontId="2" fillId="43" borderId="0" xfId="0" applyFont="1" applyFill="1" applyAlignment="1">
      <alignment horizontal="center" vertical="center"/>
    </xf>
    <xf numFmtId="0" fontId="11" fillId="43" borderId="0" xfId="0" applyFont="1" applyFill="1" applyAlignment="1">
      <alignment horizontal="center" vertical="center"/>
    </xf>
    <xf numFmtId="0" fontId="4" fillId="43" borderId="0" xfId="0" applyFont="1" applyFill="1" applyAlignment="1">
      <alignment horizontal="center" vertical="center"/>
    </xf>
    <xf numFmtId="0" fontId="26" fillId="0" borderId="0" xfId="0" applyFont="1" applyAlignment="1">
      <alignment horizontal="left" vertical="center" indent="2"/>
    </xf>
    <xf numFmtId="0" fontId="41" fillId="35" borderId="0" xfId="0" applyFont="1" applyFill="1" applyAlignment="1">
      <alignment horizontal="left"/>
    </xf>
    <xf numFmtId="49" fontId="39" fillId="33" borderId="10" xfId="0" applyNumberFormat="1" applyFont="1" applyFill="1" applyBorder="1" applyAlignment="1">
      <alignment horizontal="left" vertical="top" wrapText="1"/>
    </xf>
    <xf numFmtId="49" fontId="39" fillId="33" borderId="11" xfId="0" applyNumberFormat="1" applyFont="1" applyFill="1" applyBorder="1" applyAlignment="1">
      <alignment horizontal="left" vertical="top"/>
    </xf>
    <xf numFmtId="49" fontId="39" fillId="33" borderId="12" xfId="0" applyNumberFormat="1" applyFont="1" applyFill="1" applyBorder="1" applyAlignment="1">
      <alignment horizontal="left" vertical="top"/>
    </xf>
    <xf numFmtId="0" fontId="39" fillId="33" borderId="28" xfId="0" applyFont="1" applyFill="1" applyBorder="1" applyAlignment="1">
      <alignment horizontal="left" vertical="top"/>
    </xf>
    <xf numFmtId="0" fontId="39" fillId="33" borderId="25" xfId="0" applyFont="1" applyFill="1" applyBorder="1" applyAlignment="1">
      <alignment horizontal="left" vertical="top"/>
    </xf>
    <xf numFmtId="0" fontId="39" fillId="33" borderId="0" xfId="0" applyFont="1" applyFill="1" applyAlignment="1">
      <alignment horizontal="left" vertical="top"/>
    </xf>
    <xf numFmtId="0" fontId="39" fillId="33" borderId="26" xfId="0" applyFont="1" applyFill="1" applyBorder="1" applyAlignment="1">
      <alignment horizontal="left" vertical="top"/>
    </xf>
    <xf numFmtId="0" fontId="39" fillId="33" borderId="22" xfId="0" applyFont="1" applyFill="1" applyBorder="1" applyAlignment="1">
      <alignment horizontal="left" vertical="top"/>
    </xf>
    <xf numFmtId="0" fontId="6" fillId="0" borderId="28" xfId="0" applyFont="1" applyBorder="1" applyAlignment="1">
      <alignment horizontal="left"/>
    </xf>
    <xf numFmtId="0" fontId="6" fillId="0" borderId="0" xfId="0" applyFont="1" applyAlignment="1">
      <alignment horizontal="left"/>
    </xf>
    <xf numFmtId="0" fontId="39" fillId="33" borderId="10" xfId="0" applyFont="1" applyFill="1" applyBorder="1" applyAlignment="1">
      <alignment horizontal="left" vertical="top" wrapText="1"/>
    </xf>
    <xf numFmtId="0" fontId="39" fillId="33" borderId="11" xfId="0" applyFont="1" applyFill="1" applyBorder="1" applyAlignment="1">
      <alignment horizontal="left" vertical="top"/>
    </xf>
    <xf numFmtId="0" fontId="39" fillId="33" borderId="12" xfId="0" applyFont="1" applyFill="1" applyBorder="1" applyAlignment="1">
      <alignment horizontal="left" vertical="top"/>
    </xf>
    <xf numFmtId="14" fontId="0" fillId="37" borderId="33" xfId="0" applyNumberFormat="1" applyFill="1" applyBorder="1" applyAlignment="1">
      <alignment horizontal="center"/>
    </xf>
    <xf numFmtId="0" fontId="2" fillId="42" borderId="0" xfId="0" applyFont="1" applyFill="1" applyAlignment="1">
      <alignment horizontal="center" vertical="center"/>
    </xf>
    <xf numFmtId="0" fontId="11" fillId="42" borderId="0" xfId="0" applyFont="1" applyFill="1" applyAlignment="1">
      <alignment horizontal="center" vertical="center"/>
    </xf>
    <xf numFmtId="0" fontId="4" fillId="42" borderId="0" xfId="0" applyFont="1" applyFill="1" applyAlignment="1">
      <alignment horizontal="center" vertical="center"/>
    </xf>
    <xf numFmtId="0" fontId="27" fillId="0" borderId="0" xfId="0" applyFont="1" applyAlignment="1">
      <alignment horizontal="left"/>
    </xf>
    <xf numFmtId="49" fontId="29" fillId="35" borderId="0" xfId="0" applyNumberFormat="1" applyFont="1" applyFill="1" applyAlignment="1">
      <alignment horizontal="left" vertical="top" wrapText="1"/>
    </xf>
    <xf numFmtId="49" fontId="3" fillId="35" borderId="0" xfId="0" applyNumberFormat="1" applyFont="1" applyFill="1" applyAlignment="1">
      <alignment horizontal="left" vertical="top"/>
    </xf>
    <xf numFmtId="0" fontId="42" fillId="0" borderId="0" xfId="0" applyFont="1" applyAlignment="1">
      <alignment horizontal="left" vertical="center" indent="2"/>
    </xf>
    <xf numFmtId="0" fontId="0" fillId="0" borderId="0" xfId="0" applyAlignment="1">
      <alignment horizontal="center"/>
    </xf>
    <xf numFmtId="0" fontId="41" fillId="0" borderId="0" xfId="0" applyFont="1" applyAlignment="1">
      <alignment horizontal="left"/>
    </xf>
    <xf numFmtId="14" fontId="0" fillId="0" borderId="30" xfId="0" applyNumberFormat="1" applyBorder="1" applyAlignment="1">
      <alignment horizontal="center"/>
    </xf>
    <xf numFmtId="14" fontId="0" fillId="37" borderId="30" xfId="0" applyNumberFormat="1" applyFill="1" applyBorder="1" applyAlignment="1">
      <alignment horizontal="center"/>
    </xf>
    <xf numFmtId="0" fontId="11" fillId="39" borderId="0" xfId="0" applyFont="1" applyFill="1" applyAlignment="1">
      <alignment horizontal="center" vertical="center"/>
    </xf>
    <xf numFmtId="0" fontId="4" fillId="39" borderId="0" xfId="0" applyFont="1" applyFill="1" applyAlignment="1">
      <alignment horizontal="center" vertical="center"/>
    </xf>
    <xf numFmtId="0" fontId="2" fillId="39" borderId="0" xfId="0" applyFont="1" applyFill="1" applyAlignment="1">
      <alignment horizontal="center" vertical="center"/>
    </xf>
    <xf numFmtId="49" fontId="3" fillId="33" borderId="11" xfId="0" applyNumberFormat="1" applyFont="1" applyFill="1" applyBorder="1" applyAlignment="1">
      <alignment horizontal="left" vertical="top"/>
    </xf>
    <xf numFmtId="49" fontId="3" fillId="33" borderId="12" xfId="0" applyNumberFormat="1" applyFont="1" applyFill="1" applyBorder="1" applyAlignment="1">
      <alignment horizontal="left" vertical="top"/>
    </xf>
    <xf numFmtId="0" fontId="39" fillId="33" borderId="13" xfId="0" applyFont="1" applyFill="1" applyBorder="1" applyAlignment="1">
      <alignment horizontal="left" vertical="top" wrapText="1"/>
    </xf>
    <xf numFmtId="0" fontId="39" fillId="33" borderId="14" xfId="0" applyFont="1" applyFill="1" applyBorder="1" applyAlignment="1">
      <alignment horizontal="left" vertical="top"/>
    </xf>
    <xf numFmtId="0" fontId="39" fillId="33" borderId="15" xfId="0" applyFont="1" applyFill="1" applyBorder="1" applyAlignment="1">
      <alignment horizontal="left" vertical="top"/>
    </xf>
    <xf numFmtId="0" fontId="39" fillId="33" borderId="16" xfId="0" applyFont="1" applyFill="1" applyBorder="1" applyAlignment="1">
      <alignment horizontal="left" vertical="top"/>
    </xf>
    <xf numFmtId="0" fontId="39" fillId="33" borderId="17" xfId="0" applyFont="1" applyFill="1" applyBorder="1" applyAlignment="1">
      <alignment horizontal="left" vertical="top"/>
    </xf>
    <xf numFmtId="0" fontId="39" fillId="33" borderId="18" xfId="0" applyFont="1" applyFill="1" applyBorder="1" applyAlignment="1">
      <alignment horizontal="left" vertical="top"/>
    </xf>
    <xf numFmtId="0" fontId="39" fillId="33" borderId="19" xfId="0" applyFont="1" applyFill="1" applyBorder="1" applyAlignment="1">
      <alignment horizontal="left" vertical="top"/>
    </xf>
    <xf numFmtId="0" fontId="39" fillId="33" borderId="20" xfId="0" applyFont="1" applyFill="1" applyBorder="1" applyAlignment="1">
      <alignment horizontal="left" vertical="top"/>
    </xf>
    <xf numFmtId="0" fontId="0" fillId="33" borderId="14" xfId="0" applyFill="1" applyBorder="1" applyAlignment="1">
      <alignment horizontal="left" vertical="top"/>
    </xf>
    <xf numFmtId="0" fontId="0" fillId="33" borderId="15" xfId="0" applyFill="1" applyBorder="1" applyAlignment="1">
      <alignment horizontal="left" vertical="top"/>
    </xf>
    <xf numFmtId="0" fontId="0" fillId="33" borderId="16" xfId="0" applyFill="1" applyBorder="1" applyAlignment="1">
      <alignment horizontal="left" vertical="top"/>
    </xf>
    <xf numFmtId="0" fontId="0" fillId="33" borderId="0" xfId="0" applyFill="1" applyAlignment="1">
      <alignment horizontal="left" vertical="top"/>
    </xf>
    <xf numFmtId="0" fontId="0" fillId="33" borderId="17" xfId="0" applyFill="1" applyBorder="1" applyAlignment="1">
      <alignment horizontal="left" vertical="top"/>
    </xf>
    <xf numFmtId="0" fontId="0" fillId="33" borderId="18" xfId="0" applyFill="1" applyBorder="1" applyAlignment="1">
      <alignment horizontal="left" vertical="top"/>
    </xf>
    <xf numFmtId="0" fontId="0" fillId="33" borderId="19" xfId="0" applyFill="1" applyBorder="1" applyAlignment="1">
      <alignment horizontal="left" vertical="top"/>
    </xf>
    <xf numFmtId="0" fontId="0" fillId="33" borderId="20" xfId="0" applyFill="1" applyBorder="1" applyAlignment="1">
      <alignment horizontal="left" vertical="top"/>
    </xf>
  </cellXfs>
  <cellStyles count="49">
    <cellStyle name="20% - Ênfase1" xfId="24" builtinId="30" customBuiltin="1"/>
    <cellStyle name="20% - Ênfase2" xfId="28" builtinId="34" customBuiltin="1"/>
    <cellStyle name="20% - Ênfase3" xfId="32" builtinId="38" customBuiltin="1"/>
    <cellStyle name="20% - Ênfase4" xfId="36" builtinId="42" customBuiltin="1"/>
    <cellStyle name="20% - Ênfase5" xfId="40" builtinId="46" customBuiltin="1"/>
    <cellStyle name="20% - Ênfase6" xfId="44" builtinId="50" customBuiltin="1"/>
    <cellStyle name="40% - Ênfase1" xfId="25" builtinId="31" customBuiltin="1"/>
    <cellStyle name="40% - Ênfase2" xfId="29" builtinId="35" customBuiltin="1"/>
    <cellStyle name="40% - Ênfase3" xfId="33" builtinId="39" customBuiltin="1"/>
    <cellStyle name="40% - Ênfase4" xfId="37" builtinId="43" customBuiltin="1"/>
    <cellStyle name="40% - Ênfase5" xfId="41" builtinId="47" customBuiltin="1"/>
    <cellStyle name="40% - Ênfase6" xfId="45" builtinId="51" customBuiltin="1"/>
    <cellStyle name="60% - Ênfase1" xfId="26" builtinId="32" customBuiltin="1"/>
    <cellStyle name="60% - Ênfase2" xfId="30" builtinId="36" customBuiltin="1"/>
    <cellStyle name="60% - Ênfase3" xfId="34" builtinId="40" customBuiltin="1"/>
    <cellStyle name="60% - Ênfase4" xfId="38" builtinId="44" customBuiltin="1"/>
    <cellStyle name="60% - Ênfase5" xfId="42" builtinId="48" customBuiltin="1"/>
    <cellStyle name="60% - Ênfase6" xfId="46" builtinId="52" customBuiltin="1"/>
    <cellStyle name="Bom" xfId="11" builtinId="26" customBuiltin="1"/>
    <cellStyle name="Cálculo" xfId="16" builtinId="22" customBuiltin="1"/>
    <cellStyle name="Célula de Verificação" xfId="18" builtinId="23" customBuiltin="1"/>
    <cellStyle name="Célula Vinculada" xfId="17" builtinId="24" customBuiltin="1"/>
    <cellStyle name="Ênfase1" xfId="23" builtinId="29" customBuiltin="1"/>
    <cellStyle name="Ênfase2" xfId="27" builtinId="33" customBuiltin="1"/>
    <cellStyle name="Ênfase3" xfId="31" builtinId="37" customBuiltin="1"/>
    <cellStyle name="Ênfase4" xfId="35" builtinId="41" customBuiltin="1"/>
    <cellStyle name="Ênfase5" xfId="39" builtinId="45" customBuiltin="1"/>
    <cellStyle name="Ênfase6" xfId="43" builtinId="49" customBuiltin="1"/>
    <cellStyle name="Entrada" xfId="14" builtinId="20" customBuiltin="1"/>
    <cellStyle name="Hiperlink" xfId="48" builtinId="8"/>
    <cellStyle name="Incorreto" xfId="12" builtinId="27" customBuiltin="1"/>
    <cellStyle name="Moeda" xfId="4" builtinId="4" customBuiltin="1"/>
    <cellStyle name="Moeda [0]" xfId="5" builtinId="7" customBuiltin="1"/>
    <cellStyle name="Neutra" xfId="13" builtinId="28" customBuiltin="1"/>
    <cellStyle name="Normal" xfId="0" builtinId="0" customBuiltin="1"/>
    <cellStyle name="Normal 2" xfId="47"/>
    <cellStyle name="Nota" xfId="20" builtinId="10" customBuiltin="1"/>
    <cellStyle name="Porcentagem" xfId="6" builtinId="5" customBuiltin="1"/>
    <cellStyle name="Saída" xfId="15" builtinId="21" customBuiltin="1"/>
    <cellStyle name="Separador de milhares [0]" xfId="3" builtinId="6" customBuiltin="1"/>
    <cellStyle name="Texto de Aviso" xfId="19" builtinId="11" customBuiltin="1"/>
    <cellStyle name="Texto Explicativo" xfId="21" builtinId="53" customBuiltin="1"/>
    <cellStyle name="Título" xfId="7" builtinId="15" customBuiltin="1"/>
    <cellStyle name="Título 1" xfId="8" builtinId="16" customBuiltin="1"/>
    <cellStyle name="Título 2" xfId="1" builtinId="17" customBuiltin="1"/>
    <cellStyle name="Título 3" xfId="9" builtinId="18" customBuiltin="1"/>
    <cellStyle name="Título 4" xfId="10" builtinId="19" customBuiltin="1"/>
    <cellStyle name="Total" xfId="22" builtinId="25" customBuiltin="1"/>
    <cellStyle name="Vírgula" xfId="2" builtinId="3" customBuiltin="1"/>
  </cellStyles>
  <dxfs count="54">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rgb="FF000000"/>
        <name val="Calibri"/>
        <scheme val="none"/>
      </font>
      <numFmt numFmtId="166" formatCode="d"/>
      <fill>
        <patternFill patternType="none">
          <fgColor rgb="FF000000"/>
          <bgColor rgb="FFFFFFFF"/>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rgb="FF000000"/>
        <name val="Calibri"/>
        <scheme val="none"/>
      </font>
      <numFmt numFmtId="166" formatCode="d"/>
      <fill>
        <patternFill patternType="none">
          <fgColor rgb="FF000000"/>
          <bgColor rgb="FFFFFFFF"/>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rgb="FF000000"/>
        <name val="Calibri"/>
        <scheme val="none"/>
      </font>
      <numFmt numFmtId="166" formatCode="d"/>
      <fill>
        <patternFill patternType="none">
          <fgColor rgb="FF000000"/>
          <bgColor rgb="FFFFFFFF"/>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rgb="FF000000"/>
        <name val="Calibri"/>
        <scheme val="none"/>
      </font>
      <numFmt numFmtId="166" formatCode="d"/>
      <fill>
        <patternFill patternType="none">
          <fgColor rgb="FF000000"/>
          <bgColor rgb="FFFFFFFF"/>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colors>
    <mruColors>
      <color rgb="FFDC8424"/>
      <color rgb="FFDA64A7"/>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Spin" dx="16" fmlaLink="$B$1" max="2999" min="1900" page="10" val="2024"/>
</file>

<file path=xl/ctrlProps/ctrlProp2.xml><?xml version="1.0" encoding="utf-8"?>
<formControlPr xmlns="http://schemas.microsoft.com/office/spreadsheetml/2009/9/main" objectType="Spin" dx="16" fmlaLink="$B$1" max="2999" min="1900" page="10" val="2024"/>
</file>

<file path=xl/ctrlProps/ctrlProp3.xml><?xml version="1.0" encoding="utf-8"?>
<formControlPr xmlns="http://schemas.microsoft.com/office/spreadsheetml/2009/9/main" objectType="Spin" dx="16" fmlaLink="$C$1" max="2999" min="1900" page="10" val="2024"/>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https://oferta.sebraemg.com.br/calendario-de-vendas-2024-ia" TargetMode="External"/><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xdr:col>
      <xdr:colOff>3057525</xdr:colOff>
      <xdr:row>2</xdr:row>
      <xdr:rowOff>133350</xdr:rowOff>
    </xdr:from>
    <xdr:ext cx="12049125" cy="32575502"/>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3219450" y="1362075"/>
          <a:ext cx="12049125" cy="32575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pt-BR" sz="1100" b="0" i="0">
            <a:solidFill>
              <a:schemeClr val="bg1"/>
            </a:solidFill>
            <a:effectLst/>
            <a:latin typeface="+mn-lt"/>
            <a:ea typeface="+mn-ea"/>
            <a:cs typeface="+mn-cs"/>
          </a:endParaRPr>
        </a:p>
        <a:p>
          <a:r>
            <a:rPr lang="pt-BR" sz="2800" b="0" i="0">
              <a:solidFill>
                <a:schemeClr val="bg1"/>
              </a:solidFill>
              <a:effectLst/>
              <a:latin typeface="+mn-lt"/>
              <a:ea typeface="+mn-ea"/>
              <a:cs typeface="+mn-cs"/>
            </a:rPr>
            <a:t>           </a:t>
          </a:r>
          <a:r>
            <a:rPr lang="pt-BR" sz="2800" b="0" i="0">
              <a:solidFill>
                <a:sysClr val="windowText" lastClr="000000"/>
              </a:solidFill>
              <a:effectLst/>
              <a:latin typeface="+mn-lt"/>
              <a:ea typeface="+mn-ea"/>
              <a:cs typeface="+mn-cs"/>
            </a:rPr>
            <a:t>Lembre de perguntar por ações de vendas para a IA (clique aqui)</a:t>
          </a: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800" b="0" i="0">
            <a:solidFill>
              <a:sysClr val="windowText" lastClr="000000"/>
            </a:solidFill>
            <a:effectLst/>
            <a:latin typeface="+mn-lt"/>
            <a:ea typeface="+mn-ea"/>
            <a:cs typeface="+mn-cs"/>
          </a:endParaRPr>
        </a:p>
        <a:p>
          <a:r>
            <a:rPr lang="pt-BR" sz="2400" b="0" i="0">
              <a:solidFill>
                <a:sysClr val="windowText" lastClr="000000"/>
              </a:solidFill>
              <a:effectLst/>
              <a:latin typeface="+mn-lt"/>
              <a:ea typeface="+mn-ea"/>
              <a:cs typeface="+mn-cs"/>
            </a:rPr>
            <a:t>             Esperamos</a:t>
          </a:r>
          <a:r>
            <a:rPr lang="pt-BR" sz="2400" b="0" i="0" baseline="0">
              <a:solidFill>
                <a:sysClr val="windowText" lastClr="000000"/>
              </a:solidFill>
              <a:effectLst/>
              <a:latin typeface="+mn-lt"/>
              <a:ea typeface="+mn-ea"/>
              <a:cs typeface="+mn-cs"/>
            </a:rPr>
            <a:t> </a:t>
          </a:r>
          <a:r>
            <a:rPr lang="pt-BR" sz="2400" b="0" i="0">
              <a:solidFill>
                <a:sysClr val="windowText" lastClr="000000"/>
              </a:solidFill>
              <a:effectLst/>
              <a:latin typeface="+mn-lt"/>
              <a:ea typeface="+mn-ea"/>
              <a:cs typeface="+mn-cs"/>
            </a:rPr>
            <a:t>que esteja ótimo!</a:t>
          </a:r>
        </a:p>
        <a:p>
          <a:endParaRPr lang="pt-BR" sz="1800" b="0" i="0">
            <a:solidFill>
              <a:sysClr val="windowText" lastClr="000000"/>
            </a:solidFill>
            <a:effectLst/>
            <a:latin typeface="+mn-lt"/>
            <a:ea typeface="+mn-ea"/>
            <a:cs typeface="+mn-cs"/>
          </a:endParaRPr>
        </a:p>
        <a:p>
          <a:r>
            <a:rPr lang="pt-BR" sz="1600" b="0" i="0">
              <a:solidFill>
                <a:sysClr val="windowText" lastClr="000000"/>
              </a:solidFill>
              <a:effectLst/>
              <a:latin typeface="+mn-lt"/>
              <a:ea typeface="+mn-ea"/>
              <a:cs typeface="+mn-cs"/>
            </a:rPr>
            <a:t>Sabemos</a:t>
          </a:r>
          <a:r>
            <a:rPr lang="pt-BR" sz="1600" b="0" i="0" baseline="0">
              <a:solidFill>
                <a:sysClr val="windowText" lastClr="000000"/>
              </a:solidFill>
              <a:effectLst/>
              <a:latin typeface="+mn-lt"/>
              <a:ea typeface="+mn-ea"/>
              <a:cs typeface="+mn-cs"/>
            </a:rPr>
            <a:t> que organizar todas as tarefas relacionadas a vendas é complexo e trabalhoso, ainda mais com tantas datas comemorativas que podem ser aproveitadas.</a:t>
          </a:r>
        </a:p>
        <a:p>
          <a:r>
            <a:rPr lang="pt-BR" sz="1600" b="0" i="0" baseline="0">
              <a:solidFill>
                <a:sysClr val="windowText" lastClr="000000"/>
              </a:solidFill>
              <a:effectLst/>
              <a:latin typeface="+mn-lt"/>
              <a:ea typeface="+mn-ea"/>
              <a:cs typeface="+mn-cs"/>
            </a:rPr>
            <a:t>Pensando nisso, criamos uma </a:t>
          </a:r>
          <a:r>
            <a:rPr lang="pt-BR" sz="1600" b="0" i="0">
              <a:solidFill>
                <a:sysClr val="windowText" lastClr="000000"/>
              </a:solidFill>
              <a:effectLst/>
              <a:latin typeface="+mn-lt"/>
              <a:ea typeface="+mn-ea"/>
              <a:cs typeface="+mn-cs"/>
            </a:rPr>
            <a:t>planilha que simula um calendário do segundo semestre de 2024, com foco nas datas comemorativas que aquecem o mercado e o comércio. </a:t>
          </a:r>
        </a:p>
        <a:p>
          <a:r>
            <a:rPr lang="pt-BR" sz="1600" b="0" i="0">
              <a:solidFill>
                <a:sysClr val="windowText" lastClr="000000"/>
              </a:solidFill>
              <a:effectLst/>
              <a:latin typeface="+mn-lt"/>
              <a:ea typeface="+mn-ea"/>
              <a:cs typeface="+mn-cs"/>
            </a:rPr>
            <a:t>Nessa planilha, são oferecidas sugestões estratégicas de marketing e vendas para cada data, e também há espaços para o controle das ações planejadas. </a:t>
          </a:r>
        </a:p>
        <a:p>
          <a:r>
            <a:rPr lang="pt-BR" sz="1600" b="0" i="0">
              <a:solidFill>
                <a:sysClr val="windowText" lastClr="000000"/>
              </a:solidFill>
              <a:effectLst/>
              <a:latin typeface="+mn-lt"/>
              <a:ea typeface="+mn-ea"/>
              <a:cs typeface="+mn-cs"/>
            </a:rPr>
            <a:t>Essa ferramenta é uma maneira prática e eficiente de potencializar o sucesso das campanhas e facilitar o acompanhamento dos resultados.</a:t>
          </a:r>
        </a:p>
        <a:p>
          <a:endParaRPr lang="pt-BR" sz="1600" b="0" i="0">
            <a:solidFill>
              <a:sysClr val="windowText" lastClr="000000"/>
            </a:solidFill>
            <a:effectLst/>
            <a:latin typeface="+mn-lt"/>
            <a:ea typeface="+mn-ea"/>
            <a:cs typeface="+mn-cs"/>
          </a:endParaRPr>
        </a:p>
        <a:p>
          <a:r>
            <a:rPr lang="pt-BR" sz="1600" b="0" i="0">
              <a:solidFill>
                <a:sysClr val="windowText" lastClr="000000"/>
              </a:solidFill>
              <a:effectLst/>
              <a:latin typeface="+mn-lt"/>
              <a:ea typeface="+mn-ea"/>
              <a:cs typeface="+mn-cs"/>
            </a:rPr>
            <a:t>Sucesso !</a:t>
          </a:r>
          <a:endParaRPr lang="pt-BR" sz="1600" b="1" i="0">
            <a:solidFill>
              <a:sysClr val="windowText" lastClr="000000"/>
            </a:solidFill>
            <a:effectLst/>
            <a:latin typeface="+mn-lt"/>
            <a:ea typeface="+mn-ea"/>
            <a:cs typeface="+mn-cs"/>
          </a:endParaRPr>
        </a:p>
      </xdr:txBody>
    </xdr:sp>
    <xdr:clientData/>
  </xdr:oneCellAnchor>
  <xdr:twoCellAnchor editAs="oneCell">
    <xdr:from>
      <xdr:col>15</xdr:col>
      <xdr:colOff>381000</xdr:colOff>
      <xdr:row>5</xdr:row>
      <xdr:rowOff>34587</xdr:rowOff>
    </xdr:from>
    <xdr:to>
      <xdr:col>18</xdr:col>
      <xdr:colOff>359890</xdr:colOff>
      <xdr:row>10</xdr:row>
      <xdr:rowOff>126070</xdr:rowOff>
    </xdr:to>
    <xdr:pic>
      <xdr:nvPicPr>
        <xdr:cNvPr id="7" name="Imagem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2411075" y="2853987"/>
          <a:ext cx="1579090" cy="853483"/>
        </a:xfrm>
        <a:prstGeom prst="rect">
          <a:avLst/>
        </a:prstGeom>
      </xdr:spPr>
    </xdr:pic>
    <xdr:clientData/>
  </xdr:twoCellAnchor>
  <xdr:twoCellAnchor editAs="oneCell">
    <xdr:from>
      <xdr:col>7</xdr:col>
      <xdr:colOff>43431</xdr:colOff>
      <xdr:row>4</xdr:row>
      <xdr:rowOff>533400</xdr:rowOff>
    </xdr:from>
    <xdr:to>
      <xdr:col>14</xdr:col>
      <xdr:colOff>342900</xdr:colOff>
      <xdr:row>13</xdr:row>
      <xdr:rowOff>133350</xdr:rowOff>
    </xdr:to>
    <xdr:pic>
      <xdr:nvPicPr>
        <xdr:cNvPr id="5" name="Imagem 4" descr="https://d335luupugsy2.cloudfront.net/cms/files/127136/1719604780/$ggd5oh5aelo">
          <a:extLst>
            <a:ext uri="{FF2B5EF4-FFF2-40B4-BE49-F238E27FC236}">
              <a16:creationId xmlns:a16="http://schemas.microsoft.com/office/drawing/2014/main" id="{707BDDA0-9A4F-4ADA-B947-6BA63A6051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06306" y="2524125"/>
          <a:ext cx="4033269"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3681981</xdr:colOff>
      <xdr:row>4</xdr:row>
      <xdr:rowOff>266700</xdr:rowOff>
    </xdr:from>
    <xdr:to>
      <xdr:col>5</xdr:col>
      <xdr:colOff>453658</xdr:colOff>
      <xdr:row>16</xdr:row>
      <xdr:rowOff>85193</xdr:rowOff>
    </xdr:to>
    <xdr:pic>
      <xdr:nvPicPr>
        <xdr:cNvPr id="4" name="Imagem 3">
          <a:extLst>
            <a:ext uri="{FF2B5EF4-FFF2-40B4-BE49-F238E27FC236}">
              <a16:creationId xmlns:a16="http://schemas.microsoft.com/office/drawing/2014/main" id="{90D304CB-6F69-4545-9ACE-8EBCCFFA06B2}"/>
            </a:ext>
          </a:extLst>
        </xdr:cNvPr>
        <xdr:cNvPicPr>
          <a:picLocks noChangeAspect="1"/>
        </xdr:cNvPicPr>
      </xdr:nvPicPr>
      <xdr:blipFill>
        <a:blip xmlns:r="http://schemas.openxmlformats.org/officeDocument/2006/relationships" r:embed="rId4"/>
        <a:stretch>
          <a:fillRect/>
        </a:stretch>
      </xdr:blipFill>
      <xdr:spPr>
        <a:xfrm>
          <a:off x="3843906" y="2257425"/>
          <a:ext cx="3305827" cy="2266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0</xdr:row>
          <xdr:rowOff>38100</xdr:rowOff>
        </xdr:from>
        <xdr:to>
          <xdr:col>1</xdr:col>
          <xdr:colOff>266700</xdr:colOff>
          <xdr:row>0</xdr:row>
          <xdr:rowOff>342900</xdr:rowOff>
        </xdr:to>
        <xdr:sp macro="" textlink="">
          <xdr:nvSpPr>
            <xdr:cNvPr id="10241" name="Controle Giratório" descr="Use os botões de controle giratório para alterar o ano do calendário ou inserir o ano na célula C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20</xdr:col>
      <xdr:colOff>1076325</xdr:colOff>
      <xdr:row>0</xdr:row>
      <xdr:rowOff>209550</xdr:rowOff>
    </xdr:from>
    <xdr:to>
      <xdr:col>20</xdr:col>
      <xdr:colOff>1990724</xdr:colOff>
      <xdr:row>0</xdr:row>
      <xdr:rowOff>703326</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372350" y="209550"/>
          <a:ext cx="914399" cy="493776"/>
        </a:xfrm>
        <a:prstGeom prst="rect">
          <a:avLst/>
        </a:prstGeom>
      </xdr:spPr>
    </xdr:pic>
    <xdr:clientData/>
  </xdr:twoCellAnchor>
  <xdr:oneCellAnchor>
    <xdr:from>
      <xdr:col>1</xdr:col>
      <xdr:colOff>142874</xdr:colOff>
      <xdr:row>38</xdr:row>
      <xdr:rowOff>123823</xdr:rowOff>
    </xdr:from>
    <xdr:ext cx="5655609" cy="33147002"/>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219074" y="7877173"/>
          <a:ext cx="5655609" cy="33147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pt-BR" sz="1100" b="1" i="0">
            <a:solidFill>
              <a:schemeClr val="tx1"/>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0</xdr:row>
          <xdr:rowOff>38100</xdr:rowOff>
        </xdr:from>
        <xdr:to>
          <xdr:col>1</xdr:col>
          <xdr:colOff>266700</xdr:colOff>
          <xdr:row>0</xdr:row>
          <xdr:rowOff>342900</xdr:rowOff>
        </xdr:to>
        <xdr:sp macro="" textlink="">
          <xdr:nvSpPr>
            <xdr:cNvPr id="2049" name="Controle Giratório" descr="Use os botões de controle giratório para alterar o ano do calendário ou inserir o ano na célula C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20</xdr:col>
      <xdr:colOff>1076325</xdr:colOff>
      <xdr:row>0</xdr:row>
      <xdr:rowOff>209550</xdr:rowOff>
    </xdr:from>
    <xdr:to>
      <xdr:col>20</xdr:col>
      <xdr:colOff>1990724</xdr:colOff>
      <xdr:row>0</xdr:row>
      <xdr:rowOff>703326</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7381875" y="209550"/>
          <a:ext cx="914399" cy="493776"/>
        </a:xfrm>
        <a:prstGeom prst="rect">
          <a:avLst/>
        </a:prstGeom>
      </xdr:spPr>
    </xdr:pic>
    <xdr:clientData/>
  </xdr:twoCellAnchor>
  <xdr:oneCellAnchor>
    <xdr:from>
      <xdr:col>2</xdr:col>
      <xdr:colOff>314324</xdr:colOff>
      <xdr:row>38</xdr:row>
      <xdr:rowOff>114299</xdr:rowOff>
    </xdr:from>
    <xdr:ext cx="5638801" cy="32908875"/>
    <xdr:sp macro="" textlink="">
      <xdr:nvSpPr>
        <xdr:cNvPr id="10" name="CaixaDeTexto 9">
          <a:extLst>
            <a:ext uri="{FF2B5EF4-FFF2-40B4-BE49-F238E27FC236}">
              <a16:creationId xmlns:a16="http://schemas.microsoft.com/office/drawing/2014/main" id="{00000000-0008-0000-0200-00000A000000}"/>
            </a:ext>
          </a:extLst>
        </xdr:cNvPr>
        <xdr:cNvSpPr txBox="1"/>
      </xdr:nvSpPr>
      <xdr:spPr>
        <a:xfrm>
          <a:off x="685799" y="7877174"/>
          <a:ext cx="5638801" cy="32908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pt-BR" sz="1100" b="0" i="0">
            <a:solidFill>
              <a:schemeClr val="tx1"/>
            </a:solidFill>
            <a:effectLst/>
            <a:latin typeface="+mn-lt"/>
            <a:ea typeface="+mn-ea"/>
            <a:cs typeface="+mn-cs"/>
          </a:endParaRPr>
        </a:p>
        <a:p>
          <a:endParaRPr lang="pt-BR" sz="1100" b="1" i="0">
            <a:solidFill>
              <a:schemeClr val="tx1"/>
            </a:solidFill>
            <a:effectLst/>
            <a:latin typeface="+mn-lt"/>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0</xdr:row>
          <xdr:rowOff>38100</xdr:rowOff>
        </xdr:from>
        <xdr:to>
          <xdr:col>1</xdr:col>
          <xdr:colOff>266700</xdr:colOff>
          <xdr:row>0</xdr:row>
          <xdr:rowOff>342900</xdr:rowOff>
        </xdr:to>
        <xdr:sp macro="" textlink="">
          <xdr:nvSpPr>
            <xdr:cNvPr id="3073" name="Controle Giratório" descr="Use os botões de controle giratório para alterar o ano do calendário ou inserir o ano na célula C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20</xdr:col>
      <xdr:colOff>1114425</xdr:colOff>
      <xdr:row>0</xdr:row>
      <xdr:rowOff>211074</xdr:rowOff>
    </xdr:from>
    <xdr:to>
      <xdr:col>20</xdr:col>
      <xdr:colOff>2028824</xdr:colOff>
      <xdr:row>0</xdr:row>
      <xdr:rowOff>704850</xdr:rowOff>
    </xdr:to>
    <xdr:pic>
      <xdr:nvPicPr>
        <xdr:cNvPr id="10" name="Imagem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tretch>
          <a:fillRect/>
        </a:stretch>
      </xdr:blipFill>
      <xdr:spPr>
        <a:xfrm>
          <a:off x="7591425" y="211074"/>
          <a:ext cx="914399" cy="493776"/>
        </a:xfrm>
        <a:prstGeom prst="rect">
          <a:avLst/>
        </a:prstGeom>
      </xdr:spPr>
    </xdr:pic>
    <xdr:clientData/>
  </xdr:twoCellAnchor>
  <xdr:oneCellAnchor>
    <xdr:from>
      <xdr:col>2</xdr:col>
      <xdr:colOff>28575</xdr:colOff>
      <xdr:row>37</xdr:row>
      <xdr:rowOff>9524</xdr:rowOff>
    </xdr:from>
    <xdr:ext cx="5817534" cy="21097875"/>
    <xdr:sp macro="" textlink="">
      <xdr:nvSpPr>
        <xdr:cNvPr id="12" name="CaixaDeTexto 11">
          <a:extLst>
            <a:ext uri="{FF2B5EF4-FFF2-40B4-BE49-F238E27FC236}">
              <a16:creationId xmlns:a16="http://schemas.microsoft.com/office/drawing/2014/main" id="{00000000-0008-0000-0300-00000C000000}"/>
            </a:ext>
          </a:extLst>
        </xdr:cNvPr>
        <xdr:cNvSpPr txBox="1"/>
      </xdr:nvSpPr>
      <xdr:spPr>
        <a:xfrm>
          <a:off x="400050" y="8181974"/>
          <a:ext cx="5817534" cy="21097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pt-BR" sz="1100" b="1" i="0">
            <a:solidFill>
              <a:schemeClr val="tx1"/>
            </a:solidFill>
            <a:effectLst/>
            <a:latin typeface="+mn-lt"/>
            <a:ea typeface="+mn-ea"/>
            <a:cs typeface="+mn-cs"/>
          </a:endParaRPr>
        </a:p>
      </xdr:txBody>
    </xdr:sp>
    <xdr:clientData/>
  </xdr:oneCellAnchor>
</xdr:wsDr>
</file>

<file path=xl/tables/table1.xml><?xml version="1.0" encoding="utf-8"?>
<table xmlns="http://schemas.openxmlformats.org/spreadsheetml/2006/main" id="21" name="Agosto22" displayName="Agosto22" ref="K5:Q11" totalsRowShown="0" headerRowDxfId="53" dataDxfId="52">
  <tableColumns count="7">
    <tableColumn id="1" name="DOM" dataDxfId="51"/>
    <tableColumn id="2" name="SEG" dataDxfId="50"/>
    <tableColumn id="3" name="TER" dataDxfId="49"/>
    <tableColumn id="4" name="QUA" dataDxfId="48"/>
    <tableColumn id="5" name="QUI" dataDxfId="47"/>
    <tableColumn id="6" name="SEX" dataDxfId="46"/>
    <tableColumn id="7" name="SÁB" dataDxfId="45"/>
  </tableColumns>
  <tableStyleInfo showFirstColumn="0" showLastColumn="0" showRowStripes="0" showColumnStripes="0"/>
  <extLst>
    <ext xmlns:x14="http://schemas.microsoft.com/office/spreadsheetml/2009/9/main" uri="{504A1905-F514-4f6f-8877-14C23A59335A}">
      <x14:table altTextSummary="Calendário de agosto nesta tabela é atualizado automaticamente com nomes do dia da semana e datas"/>
    </ext>
  </extLst>
</table>
</file>

<file path=xl/tables/table2.xml><?xml version="1.0" encoding="utf-8"?>
<table xmlns="http://schemas.openxmlformats.org/spreadsheetml/2006/main" id="22" name="Julho23" displayName="Julho23" ref="C5:I11" totalsRowShown="0" headerRowDxfId="44" dataDxfId="43">
  <tableColumns count="7">
    <tableColumn id="1" name="DOM" dataDxfId="42"/>
    <tableColumn id="2" name="SEG" dataDxfId="41"/>
    <tableColumn id="3" name="TER" dataDxfId="40"/>
    <tableColumn id="4" name="QUA" dataDxfId="39"/>
    <tableColumn id="5" name="QUI" dataDxfId="38"/>
    <tableColumn id="6" name="SEX" dataDxfId="37"/>
    <tableColumn id="7" name="SÁB" dataDxfId="36"/>
  </tableColumns>
  <tableStyleInfo showFirstColumn="0" showLastColumn="0" showRowStripes="0" showColumnStripes="0"/>
  <extLst>
    <ext xmlns:x14="http://schemas.microsoft.com/office/spreadsheetml/2009/9/main" uri="{504A1905-F514-4f6f-8877-14C23A59335A}">
      <x14:table altTextSummary="Calendário de julho nesta tabela é atualizado automaticamente com nomes do dia da semana e datas"/>
    </ext>
  </extLst>
</table>
</file>

<file path=xl/tables/table3.xml><?xml version="1.0" encoding="utf-8"?>
<table xmlns="http://schemas.openxmlformats.org/spreadsheetml/2006/main" id="1" name="Setembro2" displayName="Setembro2" ref="C5:I11" totalsRowShown="0" headerRowDxfId="35" dataDxfId="34">
  <autoFilter ref="C5:I1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DOM" dataDxfId="33"/>
    <tableColumn id="2" name="SEG" dataDxfId="32"/>
    <tableColumn id="3" name="TER" dataDxfId="31"/>
    <tableColumn id="4" name="QUA" dataDxfId="30"/>
    <tableColumn id="5" name="QUI" dataDxfId="29"/>
    <tableColumn id="6" name="SEX" dataDxfId="28"/>
    <tableColumn id="7" name="SÁB" dataDxfId="27"/>
  </tableColumns>
  <tableStyleInfo showFirstColumn="0" showLastColumn="0" showRowStripes="0" showColumnStripes="0"/>
  <extLst>
    <ext xmlns:x14="http://schemas.microsoft.com/office/spreadsheetml/2009/9/main" uri="{504A1905-F514-4f6f-8877-14C23A59335A}">
      <x14:table altTextSummary="Calendário de setembro nesta tabela é atualizado automaticamente com nomes do dia da semana e datas"/>
    </ext>
  </extLst>
</table>
</file>

<file path=xl/tables/table4.xml><?xml version="1.0" encoding="utf-8"?>
<table xmlns="http://schemas.openxmlformats.org/spreadsheetml/2006/main" id="2" name="Outubro3" displayName="Outubro3" ref="K5:Q11" totalsRowShown="0" headerRowDxfId="26" dataDxfId="25">
  <autoFilter ref="K5:Q1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DOM" dataDxfId="24"/>
    <tableColumn id="2" name="SEG" dataDxfId="23"/>
    <tableColumn id="3" name="TER" dataDxfId="22"/>
    <tableColumn id="4" name="QUA" dataDxfId="21"/>
    <tableColumn id="5" name="QUI" dataDxfId="20"/>
    <tableColumn id="6" name="SEX" dataDxfId="19"/>
    <tableColumn id="7" name="SÁB" dataDxfId="18"/>
  </tableColumns>
  <tableStyleInfo showFirstColumn="0" showLastColumn="0" showRowStripes="0" showColumnStripes="0"/>
  <extLst>
    <ext xmlns:x14="http://schemas.microsoft.com/office/spreadsheetml/2009/9/main" uri="{504A1905-F514-4f6f-8877-14C23A59335A}">
      <x14:table altTextSummary="Calendário de outubro nesta tabela é atualizado automaticamente com nomes do dia da semana e datas"/>
    </ext>
  </extLst>
</table>
</file>

<file path=xl/tables/table5.xml><?xml version="1.0" encoding="utf-8"?>
<table xmlns="http://schemas.openxmlformats.org/spreadsheetml/2006/main" id="27" name="Dezembro428" displayName="Dezembro428" ref="K5:Q11" totalsRowShown="0" headerRowDxfId="17" dataDxfId="16">
  <autoFilter ref="K5:Q1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DOM" dataDxfId="15"/>
    <tableColumn id="2" name="SEG" dataDxfId="14"/>
    <tableColumn id="3" name="TER" dataDxfId="13"/>
    <tableColumn id="4" name="QUA" dataDxfId="12"/>
    <tableColumn id="5" name="QUI" dataDxfId="11"/>
    <tableColumn id="6" name="SEX" dataDxfId="10"/>
    <tableColumn id="7" name="SÁB" dataDxfId="9"/>
  </tableColumns>
  <tableStyleInfo showFirstColumn="0" showLastColumn="0" showRowStripes="0" showColumnStripes="0"/>
  <extLst>
    <ext xmlns:x14="http://schemas.microsoft.com/office/spreadsheetml/2009/9/main" uri="{504A1905-F514-4f6f-8877-14C23A59335A}">
      <x14:table altTextSummary="Calendário de dezembro nesta tabela é atualizado automaticamente com nomes do dia da semana e datas"/>
    </ext>
  </extLst>
</table>
</file>

<file path=xl/tables/table6.xml><?xml version="1.0" encoding="utf-8"?>
<table xmlns="http://schemas.openxmlformats.org/spreadsheetml/2006/main" id="28" name="Novembro529" displayName="Novembro529" ref="C5:I11" totalsRowShown="0" headerRowDxfId="8" dataDxfId="7">
  <autoFilter ref="C5:I1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DOM" dataDxfId="6"/>
    <tableColumn id="2" name="SEG" dataDxfId="5"/>
    <tableColumn id="3" name="TER" dataDxfId="4"/>
    <tableColumn id="4" name="QUA" dataDxfId="3"/>
    <tableColumn id="5" name="QUI" dataDxfId="2"/>
    <tableColumn id="6" name="SEX" dataDxfId="1"/>
    <tableColumn id="7" name="SÁB" dataDxfId="0"/>
  </tableColumns>
  <tableStyleInfo showFirstColumn="0" showLastColumn="0" showRowStripes="0" showColumnStripes="0"/>
  <extLst>
    <ext xmlns:x14="http://schemas.microsoft.com/office/spreadsheetml/2009/9/main" uri="{504A1905-F514-4f6f-8877-14C23A59335A}">
      <x14:table altTextSummary="Calendário de novembro nesta tabela é atualizado automaticamente com nomes do dia da semana e datas"/>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ivic">
  <a:themeElements>
    <a:clrScheme name="Small Business Calendar 2">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8FB08C"/>
      </a:hlink>
      <a:folHlink>
        <a:srgbClr val="694F07"/>
      </a:folHlink>
    </a:clrScheme>
    <a:fontScheme name="Custom 2">
      <a:majorFont>
        <a:latin typeface="Calibri"/>
        <a:ea typeface=""/>
        <a:cs typeface=""/>
      </a:majorFont>
      <a:minorFont>
        <a:latin typeface="Calibri"/>
        <a:ea typeface=""/>
        <a:cs typeface=""/>
      </a:minorFont>
    </a:fontScheme>
    <a:fmtScheme name="Civic">
      <a:fillStyleLst>
        <a:solidFill>
          <a:schemeClr val="phClr"/>
        </a:solidFill>
        <a:solidFill>
          <a:schemeClr val="phClr">
            <a:tint val="45000"/>
          </a:schemeClr>
        </a:solidFill>
        <a:solidFill>
          <a:schemeClr val="phClr">
            <a:tint val="95000"/>
          </a:schemeClr>
        </a:solidFill>
      </a:fillStyleLst>
      <a:lnStyleLst>
        <a:ln w="9525" cap="flat" cmpd="sng" algn="ctr">
          <a:solidFill>
            <a:schemeClr val="phClr"/>
          </a:solidFill>
          <a:prstDash val="solid"/>
        </a:ln>
        <a:ln w="11429" cap="flat" cmpd="sng" algn="ctr">
          <a:solidFill>
            <a:schemeClr val="phClr"/>
          </a:solidFill>
          <a:prstDash val="sysDash"/>
        </a:ln>
        <a:ln w="20000" cap="flat" cmpd="sng" algn="ctr">
          <a:solidFill>
            <a:schemeClr val="phClr"/>
          </a:solidFill>
          <a:prstDash val="solid"/>
        </a:ln>
      </a:lnStyleLst>
      <a:effectStyleLst>
        <a:effectStyle>
          <a:effectLst>
            <a:outerShdw blurRad="50800" dist="25400" dir="5400000" rotWithShape="0">
              <a:srgbClr val="000000">
                <a:alpha val="3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threePt" dir="t">
              <a:rot lat="0" lon="0" rev="0"/>
            </a:lightRig>
          </a:scene3d>
          <a:sp3d contourW="9525" prstMaterial="matte">
            <a:bevelT w="0" h="0"/>
            <a:contourClr>
              <a:schemeClr val="phClr">
                <a:shade val="70000"/>
                <a:satMod val="105000"/>
              </a:schemeClr>
            </a:contourClr>
          </a:sp3d>
        </a:effectStyle>
        <a:effectStyle>
          <a:effectLst>
            <a:outerShdw blurRad="50800" dist="25400" dir="5400000" rotWithShape="0">
              <a:srgbClr val="000000">
                <a:alpha val="45000"/>
              </a:srgbClr>
            </a:outerShdw>
          </a:effectLst>
          <a:scene3d>
            <a:camera prst="orthographicFront" fov="0">
              <a:rot lat="0" lon="0" rev="0"/>
            </a:camera>
            <a:lightRig rig="soft" dir="b">
              <a:rot lat="0" lon="0" rev="0"/>
            </a:lightRig>
          </a:scene3d>
          <a:sp3d prstMaterial="dkEdge">
            <a:bevelT w="63500" h="63500" prst="cross"/>
            <a:contourClr>
              <a:schemeClr val="phClr"/>
            </a:contourClr>
          </a:sp3d>
        </a:effectStyle>
      </a:effectStyleLst>
      <a:bgFillStyleLst>
        <a:solidFill>
          <a:schemeClr val="phClr"/>
        </a:solidFill>
        <a:blipFill>
          <a:blip xmlns:r="http://schemas.openxmlformats.org/officeDocument/2006/relationships" r:embed="rId1">
            <a:duotone>
              <a:schemeClr val="phClr">
                <a:shade val="70000"/>
                <a:satMod val="115000"/>
              </a:schemeClr>
              <a:schemeClr val="phClr">
                <a:tint val="85000"/>
              </a:schemeClr>
            </a:duotone>
          </a:blip>
          <a:tile tx="0" ty="0" sx="85000" sy="85000" flip="none" algn="tl"/>
        </a:blipFill>
        <a:blipFill>
          <a:blip xmlns:r="http://schemas.openxmlformats.org/officeDocument/2006/relationships" r:embed="rId2">
            <a:duotone>
              <a:schemeClr val="phClr">
                <a:shade val="65000"/>
                <a:satMod val="115000"/>
              </a:schemeClr>
              <a:schemeClr val="phClr">
                <a:tint val="85000"/>
              </a:schemeClr>
            </a:duotone>
          </a:blip>
          <a:tile tx="0" ty="0" sx="65000" sy="6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2.xml"/><Relationship Id="rId7"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oferta.sebraemg.com.br/calendario-de-vendas-2024-ia" TargetMode="External"/><Relationship Id="rId6" Type="http://schemas.openxmlformats.org/officeDocument/2006/relationships/table" Target="../tables/table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drawing" Target="../drawings/drawing3.xml"/><Relationship Id="rId7" Type="http://schemas.openxmlformats.org/officeDocument/2006/relationships/table" Target="../tables/table4.xml"/><Relationship Id="rId2" Type="http://schemas.openxmlformats.org/officeDocument/2006/relationships/printerSettings" Target="../printerSettings/printerSettings3.bin"/><Relationship Id="rId1" Type="http://schemas.openxmlformats.org/officeDocument/2006/relationships/hyperlink" Target="https://oferta.sebraemg.com.br/calendario-de-vendas-2024-ia" TargetMode="External"/><Relationship Id="rId6" Type="http://schemas.openxmlformats.org/officeDocument/2006/relationships/table" Target="../tables/table3.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drawing" Target="../drawings/drawing4.xml"/><Relationship Id="rId7" Type="http://schemas.openxmlformats.org/officeDocument/2006/relationships/table" Target="../tables/table6.xml"/><Relationship Id="rId2" Type="http://schemas.openxmlformats.org/officeDocument/2006/relationships/printerSettings" Target="../printerSettings/printerSettings4.bin"/><Relationship Id="rId1" Type="http://schemas.openxmlformats.org/officeDocument/2006/relationships/hyperlink" Target="https://oferta.sebraemg.com.br/calendario-de-vendas-2024-ia" TargetMode="External"/><Relationship Id="rId6" Type="http://schemas.openxmlformats.org/officeDocument/2006/relationships/table" Target="../tables/table5.xm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15"/>
  <sheetViews>
    <sheetView showGridLines="0" tabSelected="1" topLeftCell="B1" workbookViewId="0">
      <selection activeCell="A2" sqref="A2:Z2"/>
    </sheetView>
  </sheetViews>
  <sheetFormatPr defaultRowHeight="11.25" x14ac:dyDescent="0.2"/>
  <cols>
    <col min="1" max="1" width="2.83203125" customWidth="1"/>
    <col min="2" max="2" width="92.83203125" style="6" customWidth="1"/>
    <col min="3" max="3" width="2.83203125" customWidth="1"/>
  </cols>
  <sheetData>
    <row r="1" spans="1:26" ht="66.75" customHeight="1" x14ac:dyDescent="0.2">
      <c r="A1" s="111" t="s">
        <v>158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26" ht="30" customHeight="1" x14ac:dyDescent="0.55000000000000004">
      <c r="A2" s="113" t="s">
        <v>161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26" s="40" customFormat="1" ht="30" customHeight="1" x14ac:dyDescent="0.2"/>
    <row r="4" spans="1:26" s="40" customFormat="1" ht="30" customHeight="1" x14ac:dyDescent="0.2"/>
    <row r="5" spans="1:26" s="40" customFormat="1" ht="65.25" customHeight="1" x14ac:dyDescent="0.2"/>
    <row r="6" spans="1:26" s="40" customFormat="1" x14ac:dyDescent="0.2"/>
    <row r="7" spans="1:26" s="40" customFormat="1" ht="15" x14ac:dyDescent="0.2">
      <c r="B7" s="41"/>
    </row>
    <row r="8" spans="1:26" s="40" customFormat="1" x14ac:dyDescent="0.2">
      <c r="B8" s="42"/>
    </row>
    <row r="9" spans="1:26" s="40" customFormat="1" x14ac:dyDescent="0.2">
      <c r="B9" s="42"/>
    </row>
    <row r="10" spans="1:26" s="40" customFormat="1" x14ac:dyDescent="0.2">
      <c r="B10" s="42"/>
    </row>
    <row r="11" spans="1:26" s="40" customFormat="1" x14ac:dyDescent="0.2">
      <c r="B11" s="42"/>
    </row>
    <row r="12" spans="1:26" s="40" customFormat="1" x14ac:dyDescent="0.2">
      <c r="B12" s="42"/>
      <c r="E12"/>
    </row>
    <row r="13" spans="1:26" s="40" customFormat="1" x14ac:dyDescent="0.2">
      <c r="B13" s="42"/>
    </row>
    <row r="14" spans="1:26" s="40" customFormat="1" x14ac:dyDescent="0.2">
      <c r="B14" s="42"/>
    </row>
    <row r="15" spans="1:26" s="40" customFormat="1" x14ac:dyDescent="0.2">
      <c r="B15" s="42"/>
    </row>
    <row r="16" spans="1:26" s="40" customFormat="1" x14ac:dyDescent="0.2">
      <c r="B16" s="42"/>
    </row>
    <row r="17" spans="2:2" s="40" customFormat="1" x14ac:dyDescent="0.2">
      <c r="B17" s="42"/>
    </row>
    <row r="18" spans="2:2" s="40" customFormat="1" x14ac:dyDescent="0.2">
      <c r="B18" s="42"/>
    </row>
    <row r="19" spans="2:2" s="40" customFormat="1" x14ac:dyDescent="0.2">
      <c r="B19" s="42"/>
    </row>
    <row r="20" spans="2:2" s="40" customFormat="1" x14ac:dyDescent="0.2">
      <c r="B20" s="42"/>
    </row>
    <row r="21" spans="2:2" s="40" customFormat="1" x14ac:dyDescent="0.2">
      <c r="B21" s="42"/>
    </row>
    <row r="22" spans="2:2" s="40" customFormat="1" x14ac:dyDescent="0.2">
      <c r="B22" s="42"/>
    </row>
    <row r="23" spans="2:2" s="40" customFormat="1" x14ac:dyDescent="0.2">
      <c r="B23" s="42"/>
    </row>
    <row r="24" spans="2:2" s="40" customFormat="1" x14ac:dyDescent="0.2">
      <c r="B24" s="42"/>
    </row>
    <row r="25" spans="2:2" s="40" customFormat="1" x14ac:dyDescent="0.2">
      <c r="B25" s="42"/>
    </row>
    <row r="26" spans="2:2" s="40" customFormat="1" x14ac:dyDescent="0.2">
      <c r="B26" s="42"/>
    </row>
    <row r="27" spans="2:2" s="40" customFormat="1" x14ac:dyDescent="0.2">
      <c r="B27" s="42"/>
    </row>
    <row r="28" spans="2:2" s="40" customFormat="1" x14ac:dyDescent="0.2">
      <c r="B28" s="42"/>
    </row>
    <row r="29" spans="2:2" s="40" customFormat="1" x14ac:dyDescent="0.2">
      <c r="B29" s="42"/>
    </row>
    <row r="30" spans="2:2" s="40" customFormat="1" x14ac:dyDescent="0.2">
      <c r="B30" s="42"/>
    </row>
    <row r="31" spans="2:2" s="40" customFormat="1" x14ac:dyDescent="0.2">
      <c r="B31" s="42"/>
    </row>
    <row r="32" spans="2:2" s="40" customFormat="1" x14ac:dyDescent="0.2">
      <c r="B32" s="42"/>
    </row>
    <row r="33" spans="2:2" s="40" customFormat="1" x14ac:dyDescent="0.2">
      <c r="B33" s="42"/>
    </row>
    <row r="34" spans="2:2" s="40" customFormat="1" x14ac:dyDescent="0.2">
      <c r="B34" s="42"/>
    </row>
    <row r="35" spans="2:2" s="40" customFormat="1" x14ac:dyDescent="0.2">
      <c r="B35" s="42"/>
    </row>
    <row r="36" spans="2:2" s="40" customFormat="1" x14ac:dyDescent="0.2">
      <c r="B36" s="42"/>
    </row>
    <row r="37" spans="2:2" s="40" customFormat="1" x14ac:dyDescent="0.2">
      <c r="B37" s="42"/>
    </row>
    <row r="38" spans="2:2" s="40" customFormat="1" x14ac:dyDescent="0.2">
      <c r="B38" s="42"/>
    </row>
    <row r="39" spans="2:2" s="40" customFormat="1" x14ac:dyDescent="0.2">
      <c r="B39" s="42"/>
    </row>
    <row r="40" spans="2:2" s="40" customFormat="1" x14ac:dyDescent="0.2">
      <c r="B40" s="42"/>
    </row>
    <row r="41" spans="2:2" s="40" customFormat="1" x14ac:dyDescent="0.2">
      <c r="B41" s="42"/>
    </row>
    <row r="42" spans="2:2" s="40" customFormat="1" x14ac:dyDescent="0.2">
      <c r="B42" s="42"/>
    </row>
    <row r="43" spans="2:2" s="40" customFormat="1" x14ac:dyDescent="0.2">
      <c r="B43" s="42"/>
    </row>
    <row r="44" spans="2:2" s="40" customFormat="1" x14ac:dyDescent="0.2">
      <c r="B44" s="42"/>
    </row>
    <row r="45" spans="2:2" s="40" customFormat="1" x14ac:dyDescent="0.2">
      <c r="B45" s="42"/>
    </row>
    <row r="46" spans="2:2" s="40" customFormat="1" x14ac:dyDescent="0.2">
      <c r="B46" s="42"/>
    </row>
    <row r="47" spans="2:2" s="40" customFormat="1" x14ac:dyDescent="0.2">
      <c r="B47" s="42"/>
    </row>
    <row r="48" spans="2:2" s="40" customFormat="1" x14ac:dyDescent="0.2">
      <c r="B48" s="42"/>
    </row>
    <row r="49" spans="2:2" s="40" customFormat="1" x14ac:dyDescent="0.2">
      <c r="B49" s="42"/>
    </row>
    <row r="50" spans="2:2" s="40" customFormat="1" x14ac:dyDescent="0.2">
      <c r="B50" s="42"/>
    </row>
    <row r="51" spans="2:2" s="40" customFormat="1" x14ac:dyDescent="0.2">
      <c r="B51" s="42"/>
    </row>
    <row r="52" spans="2:2" s="40" customFormat="1" x14ac:dyDescent="0.2">
      <c r="B52" s="42"/>
    </row>
    <row r="53" spans="2:2" s="40" customFormat="1" x14ac:dyDescent="0.2">
      <c r="B53" s="42"/>
    </row>
    <row r="54" spans="2:2" s="40" customFormat="1" x14ac:dyDescent="0.2">
      <c r="B54" s="42"/>
    </row>
    <row r="55" spans="2:2" s="40" customFormat="1" x14ac:dyDescent="0.2">
      <c r="B55" s="42"/>
    </row>
    <row r="56" spans="2:2" s="40" customFormat="1" x14ac:dyDescent="0.2">
      <c r="B56" s="42"/>
    </row>
    <row r="57" spans="2:2" s="40" customFormat="1" x14ac:dyDescent="0.2">
      <c r="B57" s="42"/>
    </row>
    <row r="58" spans="2:2" s="40" customFormat="1" x14ac:dyDescent="0.2">
      <c r="B58" s="42"/>
    </row>
    <row r="59" spans="2:2" s="40" customFormat="1" x14ac:dyDescent="0.2">
      <c r="B59" s="42"/>
    </row>
    <row r="60" spans="2:2" s="40" customFormat="1" x14ac:dyDescent="0.2">
      <c r="B60" s="42"/>
    </row>
    <row r="61" spans="2:2" s="40" customFormat="1" x14ac:dyDescent="0.2">
      <c r="B61" s="42"/>
    </row>
    <row r="62" spans="2:2" s="40" customFormat="1" x14ac:dyDescent="0.2">
      <c r="B62" s="42"/>
    </row>
    <row r="63" spans="2:2" s="40" customFormat="1" x14ac:dyDescent="0.2">
      <c r="B63" s="42"/>
    </row>
    <row r="64" spans="2:2" s="40" customFormat="1" x14ac:dyDescent="0.2">
      <c r="B64" s="42"/>
    </row>
    <row r="65" spans="2:2" s="40" customFormat="1" x14ac:dyDescent="0.2">
      <c r="B65" s="42"/>
    </row>
    <row r="66" spans="2:2" s="40" customFormat="1" x14ac:dyDescent="0.2">
      <c r="B66" s="42"/>
    </row>
    <row r="67" spans="2:2" s="40" customFormat="1" x14ac:dyDescent="0.2">
      <c r="B67" s="42"/>
    </row>
    <row r="68" spans="2:2" s="40" customFormat="1" x14ac:dyDescent="0.2">
      <c r="B68" s="42"/>
    </row>
    <row r="69" spans="2:2" s="40" customFormat="1" x14ac:dyDescent="0.2">
      <c r="B69" s="42"/>
    </row>
    <row r="70" spans="2:2" s="40" customFormat="1" x14ac:dyDescent="0.2">
      <c r="B70" s="42"/>
    </row>
    <row r="71" spans="2:2" s="40" customFormat="1" x14ac:dyDescent="0.2">
      <c r="B71" s="42"/>
    </row>
    <row r="72" spans="2:2" s="40" customFormat="1" x14ac:dyDescent="0.2">
      <c r="B72" s="42"/>
    </row>
    <row r="73" spans="2:2" s="40" customFormat="1" x14ac:dyDescent="0.2">
      <c r="B73" s="42"/>
    </row>
    <row r="74" spans="2:2" s="40" customFormat="1" x14ac:dyDescent="0.2">
      <c r="B74" s="42"/>
    </row>
    <row r="75" spans="2:2" s="40" customFormat="1" x14ac:dyDescent="0.2">
      <c r="B75" s="42"/>
    </row>
    <row r="76" spans="2:2" s="40" customFormat="1" x14ac:dyDescent="0.2">
      <c r="B76" s="42"/>
    </row>
    <row r="77" spans="2:2" s="40" customFormat="1" x14ac:dyDescent="0.2">
      <c r="B77" s="42"/>
    </row>
    <row r="78" spans="2:2" s="40" customFormat="1" x14ac:dyDescent="0.2">
      <c r="B78" s="42"/>
    </row>
    <row r="79" spans="2:2" s="40" customFormat="1" x14ac:dyDescent="0.2">
      <c r="B79" s="42"/>
    </row>
    <row r="80" spans="2:2" s="40" customFormat="1" x14ac:dyDescent="0.2">
      <c r="B80" s="42"/>
    </row>
    <row r="81" spans="2:2" s="40" customFormat="1" x14ac:dyDescent="0.2">
      <c r="B81" s="42"/>
    </row>
    <row r="82" spans="2:2" s="40" customFormat="1" x14ac:dyDescent="0.2">
      <c r="B82" s="42"/>
    </row>
    <row r="83" spans="2:2" s="40" customFormat="1" x14ac:dyDescent="0.2">
      <c r="B83" s="42"/>
    </row>
    <row r="84" spans="2:2" s="40" customFormat="1" x14ac:dyDescent="0.2">
      <c r="B84" s="42"/>
    </row>
    <row r="85" spans="2:2" s="40" customFormat="1" x14ac:dyDescent="0.2">
      <c r="B85" s="42"/>
    </row>
    <row r="86" spans="2:2" s="40" customFormat="1" x14ac:dyDescent="0.2">
      <c r="B86" s="42"/>
    </row>
    <row r="87" spans="2:2" s="40" customFormat="1" x14ac:dyDescent="0.2">
      <c r="B87" s="42"/>
    </row>
    <row r="88" spans="2:2" s="40" customFormat="1" x14ac:dyDescent="0.2">
      <c r="B88" s="42"/>
    </row>
    <row r="89" spans="2:2" s="40" customFormat="1" x14ac:dyDescent="0.2">
      <c r="B89" s="42"/>
    </row>
    <row r="90" spans="2:2" s="40" customFormat="1" x14ac:dyDescent="0.2">
      <c r="B90" s="42"/>
    </row>
    <row r="91" spans="2:2" s="40" customFormat="1" x14ac:dyDescent="0.2">
      <c r="B91" s="42"/>
    </row>
    <row r="92" spans="2:2" s="40" customFormat="1" x14ac:dyDescent="0.2">
      <c r="B92" s="42"/>
    </row>
    <row r="93" spans="2:2" s="40" customFormat="1" x14ac:dyDescent="0.2">
      <c r="B93" s="42"/>
    </row>
    <row r="94" spans="2:2" s="40" customFormat="1" x14ac:dyDescent="0.2">
      <c r="B94" s="42"/>
    </row>
    <row r="95" spans="2:2" s="40" customFormat="1" x14ac:dyDescent="0.2">
      <c r="B95" s="42"/>
    </row>
    <row r="96" spans="2:2" s="40" customFormat="1" x14ac:dyDescent="0.2">
      <c r="B96" s="42"/>
    </row>
    <row r="97" spans="2:2" s="40" customFormat="1" x14ac:dyDescent="0.2">
      <c r="B97" s="42"/>
    </row>
    <row r="98" spans="2:2" s="40" customFormat="1" x14ac:dyDescent="0.2">
      <c r="B98" s="42"/>
    </row>
    <row r="99" spans="2:2" s="40" customFormat="1" x14ac:dyDescent="0.2">
      <c r="B99" s="42"/>
    </row>
    <row r="100" spans="2:2" s="40" customFormat="1" x14ac:dyDescent="0.2">
      <c r="B100" s="42"/>
    </row>
    <row r="101" spans="2:2" s="40" customFormat="1" x14ac:dyDescent="0.2">
      <c r="B101" s="42"/>
    </row>
    <row r="102" spans="2:2" s="40" customFormat="1" x14ac:dyDescent="0.2">
      <c r="B102" s="42"/>
    </row>
    <row r="103" spans="2:2" s="40" customFormat="1" x14ac:dyDescent="0.2">
      <c r="B103" s="42"/>
    </row>
    <row r="104" spans="2:2" s="40" customFormat="1" x14ac:dyDescent="0.2">
      <c r="B104" s="42"/>
    </row>
    <row r="105" spans="2:2" s="40" customFormat="1" x14ac:dyDescent="0.2">
      <c r="B105" s="42"/>
    </row>
    <row r="106" spans="2:2" s="40" customFormat="1" x14ac:dyDescent="0.2">
      <c r="B106" s="42"/>
    </row>
    <row r="107" spans="2:2" s="40" customFormat="1" x14ac:dyDescent="0.2">
      <c r="B107" s="42"/>
    </row>
    <row r="108" spans="2:2" s="40" customFormat="1" x14ac:dyDescent="0.2">
      <c r="B108" s="42"/>
    </row>
    <row r="109" spans="2:2" s="40" customFormat="1" x14ac:dyDescent="0.2">
      <c r="B109" s="42"/>
    </row>
    <row r="110" spans="2:2" s="40" customFormat="1" x14ac:dyDescent="0.2">
      <c r="B110" s="42"/>
    </row>
    <row r="111" spans="2:2" s="40" customFormat="1" x14ac:dyDescent="0.2">
      <c r="B111" s="42"/>
    </row>
    <row r="112" spans="2:2" s="40" customFormat="1" x14ac:dyDescent="0.2">
      <c r="B112" s="42"/>
    </row>
    <row r="113" spans="2:2" s="40" customFormat="1" x14ac:dyDescent="0.2">
      <c r="B113" s="42"/>
    </row>
    <row r="114" spans="2:2" s="40" customFormat="1" x14ac:dyDescent="0.2">
      <c r="B114" s="42"/>
    </row>
    <row r="115" spans="2:2" s="40" customFormat="1" x14ac:dyDescent="0.2">
      <c r="B115" s="42"/>
    </row>
    <row r="116" spans="2:2" s="40" customFormat="1" x14ac:dyDescent="0.2">
      <c r="B116" s="42"/>
    </row>
    <row r="117" spans="2:2" s="40" customFormat="1" x14ac:dyDescent="0.2">
      <c r="B117" s="42"/>
    </row>
    <row r="118" spans="2:2" s="40" customFormat="1" x14ac:dyDescent="0.2">
      <c r="B118" s="42"/>
    </row>
    <row r="119" spans="2:2" s="40" customFormat="1" x14ac:dyDescent="0.2">
      <c r="B119" s="42"/>
    </row>
    <row r="120" spans="2:2" s="40" customFormat="1" x14ac:dyDescent="0.2">
      <c r="B120" s="42"/>
    </row>
    <row r="121" spans="2:2" s="40" customFormat="1" x14ac:dyDescent="0.2">
      <c r="B121" s="42"/>
    </row>
    <row r="122" spans="2:2" s="40" customFormat="1" x14ac:dyDescent="0.2">
      <c r="B122" s="42"/>
    </row>
    <row r="123" spans="2:2" s="40" customFormat="1" x14ac:dyDescent="0.2">
      <c r="B123" s="42"/>
    </row>
    <row r="124" spans="2:2" s="40" customFormat="1" x14ac:dyDescent="0.2">
      <c r="B124" s="42"/>
    </row>
    <row r="125" spans="2:2" s="40" customFormat="1" x14ac:dyDescent="0.2">
      <c r="B125" s="42"/>
    </row>
    <row r="126" spans="2:2" s="40" customFormat="1" x14ac:dyDescent="0.2">
      <c r="B126" s="42"/>
    </row>
    <row r="127" spans="2:2" s="40" customFormat="1" x14ac:dyDescent="0.2">
      <c r="B127" s="42"/>
    </row>
    <row r="128" spans="2:2" s="40" customFormat="1" x14ac:dyDescent="0.2">
      <c r="B128" s="42"/>
    </row>
    <row r="129" spans="2:2" s="40" customFormat="1" x14ac:dyDescent="0.2">
      <c r="B129" s="42"/>
    </row>
    <row r="130" spans="2:2" s="40" customFormat="1" x14ac:dyDescent="0.2">
      <c r="B130" s="42"/>
    </row>
    <row r="131" spans="2:2" s="40" customFormat="1" x14ac:dyDescent="0.2">
      <c r="B131" s="42"/>
    </row>
    <row r="132" spans="2:2" s="40" customFormat="1" x14ac:dyDescent="0.2">
      <c r="B132" s="42"/>
    </row>
    <row r="133" spans="2:2" s="40" customFormat="1" x14ac:dyDescent="0.2">
      <c r="B133" s="42"/>
    </row>
    <row r="134" spans="2:2" s="40" customFormat="1" x14ac:dyDescent="0.2">
      <c r="B134" s="42"/>
    </row>
    <row r="135" spans="2:2" s="40" customFormat="1" x14ac:dyDescent="0.2">
      <c r="B135" s="42"/>
    </row>
    <row r="136" spans="2:2" s="40" customFormat="1" x14ac:dyDescent="0.2">
      <c r="B136" s="42"/>
    </row>
    <row r="137" spans="2:2" s="40" customFormat="1" x14ac:dyDescent="0.2">
      <c r="B137" s="42"/>
    </row>
    <row r="138" spans="2:2" s="40" customFormat="1" x14ac:dyDescent="0.2">
      <c r="B138" s="42"/>
    </row>
    <row r="139" spans="2:2" s="40" customFormat="1" x14ac:dyDescent="0.2">
      <c r="B139" s="42"/>
    </row>
    <row r="140" spans="2:2" s="40" customFormat="1" x14ac:dyDescent="0.2">
      <c r="B140" s="42"/>
    </row>
    <row r="141" spans="2:2" s="40" customFormat="1" x14ac:dyDescent="0.2">
      <c r="B141" s="42"/>
    </row>
    <row r="142" spans="2:2" s="40" customFormat="1" x14ac:dyDescent="0.2">
      <c r="B142" s="42"/>
    </row>
    <row r="143" spans="2:2" s="40" customFormat="1" x14ac:dyDescent="0.2">
      <c r="B143" s="42"/>
    </row>
    <row r="144" spans="2:2" s="40" customFormat="1" x14ac:dyDescent="0.2">
      <c r="B144" s="42"/>
    </row>
    <row r="145" spans="2:2" s="40" customFormat="1" x14ac:dyDescent="0.2">
      <c r="B145" s="42"/>
    </row>
    <row r="146" spans="2:2" s="40" customFormat="1" x14ac:dyDescent="0.2">
      <c r="B146" s="42"/>
    </row>
    <row r="147" spans="2:2" s="40" customFormat="1" x14ac:dyDescent="0.2">
      <c r="B147" s="42"/>
    </row>
    <row r="148" spans="2:2" s="40" customFormat="1" x14ac:dyDescent="0.2">
      <c r="B148" s="42"/>
    </row>
    <row r="149" spans="2:2" s="40" customFormat="1" x14ac:dyDescent="0.2">
      <c r="B149" s="42"/>
    </row>
    <row r="150" spans="2:2" s="40" customFormat="1" x14ac:dyDescent="0.2">
      <c r="B150" s="42"/>
    </row>
    <row r="151" spans="2:2" s="40" customFormat="1" x14ac:dyDescent="0.2">
      <c r="B151" s="42"/>
    </row>
    <row r="152" spans="2:2" s="40" customFormat="1" x14ac:dyDescent="0.2">
      <c r="B152" s="42"/>
    </row>
    <row r="153" spans="2:2" s="40" customFormat="1" x14ac:dyDescent="0.2">
      <c r="B153" s="42"/>
    </row>
    <row r="154" spans="2:2" s="40" customFormat="1" x14ac:dyDescent="0.2">
      <c r="B154" s="42"/>
    </row>
    <row r="155" spans="2:2" s="40" customFormat="1" x14ac:dyDescent="0.2">
      <c r="B155" s="42"/>
    </row>
    <row r="156" spans="2:2" s="40" customFormat="1" x14ac:dyDescent="0.2">
      <c r="B156" s="42"/>
    </row>
    <row r="157" spans="2:2" s="40" customFormat="1" x14ac:dyDescent="0.2">
      <c r="B157" s="42"/>
    </row>
    <row r="158" spans="2:2" s="40" customFormat="1" x14ac:dyDescent="0.2">
      <c r="B158" s="42"/>
    </row>
    <row r="159" spans="2:2" s="40" customFormat="1" x14ac:dyDescent="0.2">
      <c r="B159" s="42"/>
    </row>
    <row r="160" spans="2:2" s="40" customFormat="1" x14ac:dyDescent="0.2">
      <c r="B160" s="42"/>
    </row>
    <row r="161" spans="2:2" s="40" customFormat="1" x14ac:dyDescent="0.2">
      <c r="B161" s="42"/>
    </row>
    <row r="162" spans="2:2" s="40" customFormat="1" x14ac:dyDescent="0.2">
      <c r="B162" s="42"/>
    </row>
    <row r="163" spans="2:2" s="40" customFormat="1" x14ac:dyDescent="0.2">
      <c r="B163" s="42"/>
    </row>
    <row r="164" spans="2:2" s="40" customFormat="1" x14ac:dyDescent="0.2">
      <c r="B164" s="42"/>
    </row>
    <row r="165" spans="2:2" s="40" customFormat="1" x14ac:dyDescent="0.2">
      <c r="B165" s="42"/>
    </row>
    <row r="166" spans="2:2" s="40" customFormat="1" x14ac:dyDescent="0.2">
      <c r="B166" s="42"/>
    </row>
    <row r="167" spans="2:2" s="40" customFormat="1" x14ac:dyDescent="0.2">
      <c r="B167" s="42"/>
    </row>
    <row r="168" spans="2:2" s="40" customFormat="1" x14ac:dyDescent="0.2">
      <c r="B168" s="42"/>
    </row>
    <row r="169" spans="2:2" s="40" customFormat="1" x14ac:dyDescent="0.2">
      <c r="B169" s="42"/>
    </row>
    <row r="170" spans="2:2" s="40" customFormat="1" x14ac:dyDescent="0.2">
      <c r="B170" s="42"/>
    </row>
    <row r="171" spans="2:2" s="40" customFormat="1" x14ac:dyDescent="0.2">
      <c r="B171" s="42"/>
    </row>
    <row r="172" spans="2:2" s="40" customFormat="1" x14ac:dyDescent="0.2">
      <c r="B172" s="42"/>
    </row>
    <row r="173" spans="2:2" s="40" customFormat="1" x14ac:dyDescent="0.2">
      <c r="B173" s="42"/>
    </row>
    <row r="174" spans="2:2" s="40" customFormat="1" x14ac:dyDescent="0.2">
      <c r="B174" s="42"/>
    </row>
    <row r="175" spans="2:2" s="40" customFormat="1" x14ac:dyDescent="0.2">
      <c r="B175" s="42"/>
    </row>
    <row r="176" spans="2:2" s="40" customFormat="1" x14ac:dyDescent="0.2">
      <c r="B176" s="42"/>
    </row>
    <row r="177" spans="1:22" s="40" customFormat="1" x14ac:dyDescent="0.2">
      <c r="B177" s="42"/>
    </row>
    <row r="178" spans="1:22" s="40" customFormat="1" x14ac:dyDescent="0.2">
      <c r="B178" s="42"/>
    </row>
    <row r="179" spans="1:22" s="40" customFormat="1" x14ac:dyDescent="0.2">
      <c r="B179" s="42"/>
    </row>
    <row r="180" spans="1:22" s="40" customFormat="1" x14ac:dyDescent="0.2">
      <c r="B180" s="42"/>
    </row>
    <row r="181" spans="1:22" s="40" customFormat="1" x14ac:dyDescent="0.2">
      <c r="B181" s="42"/>
    </row>
    <row r="182" spans="1:22" s="40" customFormat="1" x14ac:dyDescent="0.2">
      <c r="B182" s="42"/>
    </row>
    <row r="183" spans="1:22" s="40" customFormat="1" x14ac:dyDescent="0.2">
      <c r="B183" s="42"/>
    </row>
    <row r="184" spans="1:22" s="40" customFormat="1" x14ac:dyDescent="0.2">
      <c r="B184" s="42"/>
    </row>
    <row r="185" spans="1:22" s="40" customFormat="1" x14ac:dyDescent="0.2">
      <c r="B185" s="42"/>
    </row>
    <row r="186" spans="1:22" s="40" customFormat="1" x14ac:dyDescent="0.2">
      <c r="B186" s="42"/>
    </row>
    <row r="187" spans="1:22" s="4" customFormat="1" x14ac:dyDescent="0.2">
      <c r="A187" s="14"/>
      <c r="B187" s="39"/>
      <c r="C187" s="14"/>
      <c r="D187" s="14"/>
      <c r="E187" s="14"/>
      <c r="F187" s="14"/>
      <c r="G187" s="14"/>
      <c r="H187" s="14"/>
      <c r="I187" s="14"/>
      <c r="J187" s="14"/>
      <c r="K187" s="14"/>
      <c r="L187" s="14"/>
      <c r="M187" s="14"/>
      <c r="N187" s="14"/>
      <c r="O187" s="14"/>
      <c r="P187" s="14"/>
      <c r="Q187" s="14"/>
      <c r="R187" s="14"/>
      <c r="S187" s="14"/>
      <c r="T187" s="14"/>
      <c r="U187" s="14"/>
      <c r="V187" s="14"/>
    </row>
    <row r="188" spans="1:22" s="4" customFormat="1" x14ac:dyDescent="0.2">
      <c r="A188" s="14"/>
      <c r="B188" s="39"/>
      <c r="C188" s="14"/>
      <c r="D188" s="14"/>
      <c r="E188" s="14"/>
      <c r="F188" s="14"/>
      <c r="G188" s="14"/>
      <c r="H188" s="14"/>
      <c r="I188" s="14"/>
      <c r="J188" s="14"/>
      <c r="K188" s="14"/>
      <c r="L188" s="14"/>
      <c r="M188" s="14"/>
      <c r="N188" s="14"/>
      <c r="O188" s="14"/>
      <c r="P188" s="14"/>
      <c r="Q188" s="14"/>
      <c r="R188" s="14"/>
      <c r="S188" s="14"/>
      <c r="T188" s="14"/>
      <c r="U188" s="14"/>
      <c r="V188" s="14"/>
    </row>
    <row r="189" spans="1:22" s="4" customFormat="1" x14ac:dyDescent="0.2">
      <c r="A189" s="14"/>
      <c r="B189" s="39"/>
      <c r="C189" s="14"/>
      <c r="D189" s="14"/>
      <c r="E189" s="14"/>
      <c r="F189" s="14"/>
      <c r="G189" s="14"/>
      <c r="H189" s="14"/>
      <c r="I189" s="14"/>
      <c r="J189" s="14"/>
      <c r="K189" s="14"/>
      <c r="L189" s="14"/>
      <c r="M189" s="14"/>
      <c r="N189" s="14"/>
      <c r="O189" s="14"/>
      <c r="P189" s="14"/>
      <c r="Q189" s="14"/>
      <c r="R189" s="14"/>
      <c r="S189" s="14"/>
      <c r="T189" s="14"/>
      <c r="U189" s="14"/>
      <c r="V189" s="14"/>
    </row>
    <row r="190" spans="1:22" s="4" customFormat="1" x14ac:dyDescent="0.2">
      <c r="A190" s="14"/>
      <c r="B190" s="39"/>
      <c r="C190" s="14"/>
      <c r="D190" s="14"/>
      <c r="E190" s="14"/>
      <c r="F190" s="14"/>
      <c r="G190" s="14"/>
      <c r="H190" s="14"/>
      <c r="I190" s="14"/>
      <c r="J190" s="14"/>
      <c r="K190" s="14"/>
      <c r="L190" s="14"/>
      <c r="M190" s="14"/>
      <c r="N190" s="14"/>
      <c r="O190" s="14"/>
      <c r="P190" s="14"/>
      <c r="Q190" s="14"/>
      <c r="R190" s="14"/>
      <c r="S190" s="14"/>
      <c r="T190" s="14"/>
      <c r="U190" s="14"/>
      <c r="V190" s="14"/>
    </row>
    <row r="191" spans="1:22" s="4" customFormat="1" x14ac:dyDescent="0.2">
      <c r="A191" s="14"/>
      <c r="B191" s="39"/>
      <c r="C191" s="14"/>
      <c r="D191" s="14"/>
      <c r="E191" s="14"/>
      <c r="F191" s="14"/>
      <c r="G191" s="14"/>
      <c r="H191" s="14"/>
      <c r="I191" s="14"/>
      <c r="J191" s="14"/>
      <c r="K191" s="14"/>
      <c r="L191" s="14"/>
      <c r="M191" s="14"/>
      <c r="N191" s="14"/>
      <c r="O191" s="14"/>
      <c r="P191" s="14"/>
      <c r="Q191" s="14"/>
      <c r="R191" s="14"/>
      <c r="S191" s="14"/>
      <c r="T191" s="14"/>
      <c r="U191" s="14"/>
      <c r="V191" s="14"/>
    </row>
    <row r="192" spans="1:22" s="4" customFormat="1" x14ac:dyDescent="0.2">
      <c r="A192" s="14"/>
      <c r="B192" s="39"/>
      <c r="C192" s="14"/>
      <c r="D192" s="14"/>
      <c r="E192" s="14"/>
      <c r="F192" s="14"/>
      <c r="G192" s="14"/>
      <c r="H192" s="14"/>
      <c r="I192" s="14"/>
      <c r="J192" s="14"/>
      <c r="K192" s="14"/>
      <c r="L192" s="14"/>
      <c r="M192" s="14"/>
      <c r="N192" s="14"/>
      <c r="O192" s="14"/>
      <c r="P192" s="14"/>
      <c r="Q192" s="14"/>
      <c r="R192" s="14"/>
      <c r="S192" s="14"/>
      <c r="T192" s="14"/>
      <c r="U192" s="14"/>
      <c r="V192" s="14"/>
    </row>
    <row r="193" spans="1:22" s="4" customFormat="1" x14ac:dyDescent="0.2">
      <c r="A193" s="14"/>
      <c r="B193" s="39"/>
      <c r="C193" s="14"/>
      <c r="D193" s="14"/>
      <c r="E193" s="14"/>
      <c r="F193" s="14"/>
      <c r="G193" s="14"/>
      <c r="H193" s="14"/>
      <c r="I193" s="14"/>
      <c r="J193" s="14"/>
      <c r="K193" s="14"/>
      <c r="L193" s="14"/>
      <c r="M193" s="14"/>
      <c r="N193" s="14"/>
      <c r="O193" s="14"/>
      <c r="P193" s="14"/>
      <c r="Q193" s="14"/>
      <c r="R193" s="14"/>
      <c r="S193" s="14"/>
      <c r="T193" s="14"/>
      <c r="U193" s="14"/>
      <c r="V193" s="14"/>
    </row>
    <row r="194" spans="1:22" s="4" customFormat="1" x14ac:dyDescent="0.2">
      <c r="A194" s="14"/>
      <c r="B194" s="39"/>
      <c r="C194" s="14"/>
      <c r="D194" s="14"/>
      <c r="E194" s="14"/>
      <c r="F194" s="14"/>
      <c r="G194" s="14"/>
      <c r="H194" s="14"/>
      <c r="I194" s="14"/>
      <c r="J194" s="14"/>
      <c r="K194" s="14"/>
      <c r="L194" s="14"/>
      <c r="M194" s="14"/>
      <c r="N194" s="14"/>
      <c r="O194" s="14"/>
      <c r="P194" s="14"/>
      <c r="Q194" s="14"/>
      <c r="R194" s="14"/>
      <c r="S194" s="14"/>
      <c r="T194" s="14"/>
      <c r="U194" s="14"/>
      <c r="V194" s="14"/>
    </row>
    <row r="195" spans="1:22" s="4" customFormat="1" x14ac:dyDescent="0.2">
      <c r="A195" s="14"/>
      <c r="B195" s="39"/>
      <c r="C195" s="14"/>
      <c r="D195" s="14"/>
      <c r="E195" s="14"/>
      <c r="F195" s="14"/>
      <c r="G195" s="14"/>
      <c r="H195" s="14"/>
      <c r="I195" s="14"/>
      <c r="J195" s="14"/>
      <c r="K195" s="14"/>
      <c r="L195" s="14"/>
      <c r="M195" s="14"/>
      <c r="N195" s="14"/>
      <c r="O195" s="14"/>
      <c r="P195" s="14"/>
      <c r="Q195" s="14"/>
      <c r="R195" s="14"/>
      <c r="S195" s="14"/>
      <c r="T195" s="14"/>
      <c r="U195" s="14"/>
      <c r="V195" s="14"/>
    </row>
    <row r="196" spans="1:22" s="4" customFormat="1" x14ac:dyDescent="0.2">
      <c r="A196" s="14"/>
      <c r="B196" s="39"/>
      <c r="C196" s="14"/>
      <c r="D196" s="14"/>
      <c r="E196" s="14"/>
      <c r="F196" s="14"/>
      <c r="G196" s="14"/>
      <c r="H196" s="14"/>
      <c r="I196" s="14"/>
      <c r="J196" s="14"/>
      <c r="K196" s="14"/>
      <c r="L196" s="14"/>
      <c r="M196" s="14"/>
      <c r="N196" s="14"/>
      <c r="O196" s="14"/>
      <c r="P196" s="14"/>
      <c r="Q196" s="14"/>
      <c r="R196" s="14"/>
      <c r="S196" s="14"/>
      <c r="T196" s="14"/>
      <c r="U196" s="14"/>
      <c r="V196" s="14"/>
    </row>
    <row r="197" spans="1:22" s="4" customFormat="1" x14ac:dyDescent="0.2">
      <c r="A197" s="14"/>
      <c r="B197" s="39"/>
      <c r="C197" s="14"/>
      <c r="D197" s="14"/>
      <c r="E197" s="14"/>
      <c r="F197" s="14"/>
      <c r="G197" s="14"/>
      <c r="H197" s="14"/>
      <c r="I197" s="14"/>
      <c r="J197" s="14"/>
      <c r="K197" s="14"/>
      <c r="L197" s="14"/>
      <c r="M197" s="14"/>
      <c r="N197" s="14"/>
      <c r="O197" s="14"/>
      <c r="P197" s="14"/>
      <c r="Q197" s="14"/>
      <c r="R197" s="14"/>
      <c r="S197" s="14"/>
      <c r="T197" s="14"/>
      <c r="U197" s="14"/>
      <c r="V197" s="14"/>
    </row>
    <row r="198" spans="1:22" s="4" customFormat="1" x14ac:dyDescent="0.2">
      <c r="A198" s="14"/>
      <c r="B198" s="39"/>
      <c r="C198" s="14"/>
      <c r="D198" s="14"/>
      <c r="E198" s="14"/>
      <c r="F198" s="14"/>
      <c r="G198" s="14"/>
      <c r="H198" s="14"/>
      <c r="I198" s="14"/>
      <c r="J198" s="14"/>
      <c r="K198" s="14"/>
      <c r="L198" s="14"/>
      <c r="M198" s="14"/>
      <c r="N198" s="14"/>
      <c r="O198" s="14"/>
      <c r="P198" s="14"/>
      <c r="Q198" s="14"/>
      <c r="R198" s="14"/>
      <c r="S198" s="14"/>
      <c r="T198" s="14"/>
      <c r="U198" s="14"/>
      <c r="V198" s="14"/>
    </row>
    <row r="199" spans="1:22" x14ac:dyDescent="0.2">
      <c r="A199" s="9"/>
      <c r="B199" s="24"/>
      <c r="C199" s="9"/>
      <c r="D199" s="9"/>
      <c r="E199" s="9"/>
      <c r="F199" s="9"/>
      <c r="G199" s="9"/>
      <c r="H199" s="9"/>
      <c r="I199" s="9"/>
      <c r="J199" s="9"/>
      <c r="K199" s="9"/>
      <c r="L199" s="9"/>
      <c r="M199" s="9"/>
      <c r="N199" s="9"/>
      <c r="O199" s="9"/>
      <c r="P199" s="9"/>
      <c r="Q199" s="9"/>
      <c r="R199" s="9"/>
      <c r="S199" s="9"/>
      <c r="T199" s="9"/>
      <c r="U199" s="9"/>
      <c r="V199" s="9"/>
    </row>
    <row r="200" spans="1:22" x14ac:dyDescent="0.2">
      <c r="A200" s="9"/>
      <c r="B200" s="24"/>
      <c r="C200" s="9"/>
      <c r="D200" s="9"/>
      <c r="E200" s="9"/>
      <c r="F200" s="9"/>
      <c r="G200" s="9"/>
      <c r="H200" s="9"/>
      <c r="I200" s="9"/>
      <c r="J200" s="9"/>
      <c r="K200" s="9"/>
      <c r="L200" s="9"/>
      <c r="M200" s="9"/>
      <c r="N200" s="9"/>
      <c r="O200" s="9"/>
      <c r="P200" s="9"/>
      <c r="Q200" s="9"/>
      <c r="R200" s="9"/>
      <c r="S200" s="9"/>
      <c r="T200" s="9"/>
      <c r="U200" s="9"/>
      <c r="V200" s="9"/>
    </row>
    <row r="201" spans="1:22" x14ac:dyDescent="0.2">
      <c r="A201" s="9"/>
      <c r="B201" s="24"/>
      <c r="C201" s="9"/>
      <c r="D201" s="9"/>
      <c r="E201" s="9"/>
      <c r="F201" s="9"/>
      <c r="G201" s="9"/>
      <c r="H201" s="9"/>
      <c r="I201" s="9"/>
      <c r="J201" s="9"/>
      <c r="K201" s="9"/>
      <c r="L201" s="9"/>
      <c r="M201" s="9"/>
      <c r="N201" s="9"/>
      <c r="O201" s="9"/>
      <c r="P201" s="9"/>
      <c r="Q201" s="9"/>
      <c r="R201" s="9"/>
      <c r="S201" s="9"/>
      <c r="T201" s="9"/>
      <c r="U201" s="9"/>
      <c r="V201" s="9"/>
    </row>
    <row r="202" spans="1:22" x14ac:dyDescent="0.2">
      <c r="A202" s="9"/>
      <c r="B202" s="24"/>
      <c r="C202" s="9"/>
      <c r="D202" s="9"/>
      <c r="E202" s="9"/>
      <c r="F202" s="9"/>
      <c r="G202" s="9"/>
      <c r="H202" s="9"/>
      <c r="I202" s="9"/>
      <c r="J202" s="9"/>
      <c r="K202" s="9"/>
      <c r="L202" s="9"/>
      <c r="M202" s="9"/>
      <c r="N202" s="9"/>
      <c r="O202" s="9"/>
      <c r="P202" s="9"/>
      <c r="Q202" s="9"/>
      <c r="R202" s="9"/>
      <c r="S202" s="9"/>
      <c r="T202" s="9"/>
      <c r="U202" s="9"/>
      <c r="V202" s="9"/>
    </row>
    <row r="203" spans="1:22" x14ac:dyDescent="0.2">
      <c r="A203" s="9"/>
      <c r="B203" s="24"/>
      <c r="C203" s="9"/>
      <c r="D203" s="9"/>
      <c r="E203" s="9"/>
      <c r="F203" s="9"/>
      <c r="G203" s="9"/>
      <c r="H203" s="9"/>
      <c r="I203" s="9"/>
      <c r="J203" s="9"/>
      <c r="K203" s="9"/>
      <c r="L203" s="9"/>
      <c r="M203" s="9"/>
      <c r="N203" s="9"/>
      <c r="O203" s="9"/>
      <c r="P203" s="9"/>
      <c r="Q203" s="9"/>
      <c r="R203" s="9"/>
      <c r="S203" s="9"/>
      <c r="T203" s="9"/>
      <c r="U203" s="9"/>
      <c r="V203" s="9"/>
    </row>
    <row r="204" spans="1:22" x14ac:dyDescent="0.2">
      <c r="A204" s="9"/>
      <c r="B204" s="24"/>
      <c r="C204" s="9"/>
      <c r="D204" s="9"/>
      <c r="E204" s="9"/>
      <c r="F204" s="9"/>
      <c r="G204" s="9"/>
      <c r="H204" s="9"/>
      <c r="I204" s="9"/>
      <c r="J204" s="9"/>
      <c r="K204" s="9"/>
      <c r="L204" s="9"/>
      <c r="M204" s="9"/>
      <c r="N204" s="9"/>
      <c r="O204" s="9"/>
      <c r="P204" s="9"/>
      <c r="Q204" s="9"/>
      <c r="R204" s="9"/>
      <c r="S204" s="9"/>
      <c r="T204" s="9"/>
      <c r="U204" s="9"/>
      <c r="V204" s="9"/>
    </row>
    <row r="205" spans="1:22" x14ac:dyDescent="0.2">
      <c r="A205" s="9"/>
      <c r="B205" s="24"/>
      <c r="C205" s="9"/>
      <c r="D205" s="9"/>
      <c r="E205" s="9"/>
      <c r="F205" s="9"/>
      <c r="G205" s="9"/>
      <c r="H205" s="9"/>
      <c r="I205" s="9"/>
      <c r="J205" s="9"/>
      <c r="K205" s="9"/>
      <c r="L205" s="9"/>
      <c r="M205" s="9"/>
      <c r="N205" s="9"/>
      <c r="O205" s="9"/>
      <c r="P205" s="9"/>
      <c r="Q205" s="9"/>
      <c r="R205" s="9"/>
      <c r="S205" s="9"/>
      <c r="T205" s="9"/>
      <c r="U205" s="9"/>
      <c r="V205" s="9"/>
    </row>
    <row r="206" spans="1:22" x14ac:dyDescent="0.2">
      <c r="A206" s="9"/>
      <c r="B206" s="24"/>
      <c r="C206" s="9"/>
      <c r="D206" s="9"/>
      <c r="E206" s="9"/>
      <c r="F206" s="9"/>
      <c r="G206" s="9"/>
      <c r="H206" s="9"/>
      <c r="I206" s="9"/>
      <c r="J206" s="9"/>
      <c r="K206" s="9"/>
      <c r="L206" s="9"/>
      <c r="M206" s="9"/>
      <c r="N206" s="9"/>
      <c r="O206" s="9"/>
      <c r="P206" s="9"/>
      <c r="Q206" s="9"/>
      <c r="R206" s="9"/>
      <c r="S206" s="9"/>
      <c r="T206" s="9"/>
      <c r="U206" s="9"/>
      <c r="V206" s="9"/>
    </row>
    <row r="207" spans="1:22" x14ac:dyDescent="0.2">
      <c r="A207" s="9"/>
      <c r="B207" s="24"/>
      <c r="C207" s="9"/>
      <c r="D207" s="9"/>
      <c r="E207" s="9"/>
      <c r="F207" s="9"/>
      <c r="G207" s="9"/>
      <c r="H207" s="9"/>
      <c r="I207" s="9"/>
      <c r="J207" s="9"/>
      <c r="K207" s="9"/>
      <c r="L207" s="9"/>
      <c r="M207" s="9"/>
      <c r="N207" s="9"/>
      <c r="O207" s="9"/>
      <c r="P207" s="9"/>
      <c r="Q207" s="9"/>
      <c r="R207" s="9"/>
      <c r="S207" s="9"/>
      <c r="T207" s="9"/>
      <c r="U207" s="9"/>
      <c r="V207" s="9"/>
    </row>
    <row r="208" spans="1:22" x14ac:dyDescent="0.2">
      <c r="A208" s="9"/>
      <c r="B208" s="24"/>
      <c r="C208" s="9"/>
      <c r="D208" s="9"/>
      <c r="E208" s="9"/>
      <c r="F208" s="9"/>
      <c r="G208" s="9"/>
      <c r="H208" s="9"/>
      <c r="I208" s="9"/>
      <c r="J208" s="9"/>
      <c r="K208" s="9"/>
      <c r="L208" s="9"/>
      <c r="M208" s="9"/>
      <c r="N208" s="9"/>
      <c r="O208" s="9"/>
      <c r="P208" s="9"/>
      <c r="Q208" s="9"/>
      <c r="R208" s="9"/>
      <c r="S208" s="9"/>
      <c r="T208" s="9"/>
      <c r="U208" s="9"/>
      <c r="V208" s="9"/>
    </row>
    <row r="209" spans="1:22" x14ac:dyDescent="0.2">
      <c r="A209" s="9"/>
      <c r="B209" s="24"/>
      <c r="C209" s="9"/>
      <c r="D209" s="9"/>
      <c r="E209" s="9"/>
      <c r="F209" s="9"/>
      <c r="G209" s="9"/>
      <c r="H209" s="9"/>
      <c r="I209" s="9"/>
      <c r="J209" s="9"/>
      <c r="K209" s="9"/>
      <c r="L209" s="9"/>
      <c r="M209" s="9"/>
      <c r="N209" s="9"/>
      <c r="O209" s="9"/>
      <c r="P209" s="9"/>
      <c r="Q209" s="9"/>
      <c r="R209" s="9"/>
      <c r="S209" s="9"/>
      <c r="T209" s="9"/>
      <c r="U209" s="9"/>
      <c r="V209" s="9"/>
    </row>
    <row r="210" spans="1:22" x14ac:dyDescent="0.2">
      <c r="A210" s="9"/>
      <c r="B210" s="24"/>
      <c r="C210" s="9"/>
      <c r="D210" s="9"/>
      <c r="E210" s="9"/>
      <c r="F210" s="9"/>
      <c r="G210" s="9"/>
      <c r="H210" s="9"/>
      <c r="I210" s="9"/>
      <c r="J210" s="9"/>
      <c r="K210" s="9"/>
      <c r="L210" s="9"/>
      <c r="M210" s="9"/>
      <c r="N210" s="9"/>
      <c r="O210" s="9"/>
      <c r="P210" s="9"/>
      <c r="Q210" s="9"/>
      <c r="R210" s="9"/>
      <c r="S210" s="9"/>
      <c r="T210" s="9"/>
      <c r="U210" s="9"/>
      <c r="V210" s="9"/>
    </row>
    <row r="211" spans="1:22" x14ac:dyDescent="0.2">
      <c r="A211" s="9"/>
      <c r="B211" s="24"/>
      <c r="C211" s="9"/>
      <c r="D211" s="9"/>
      <c r="E211" s="9"/>
      <c r="F211" s="9"/>
      <c r="G211" s="9"/>
      <c r="H211" s="9"/>
      <c r="I211" s="9"/>
      <c r="J211" s="9"/>
      <c r="K211" s="9"/>
      <c r="L211" s="9"/>
      <c r="M211" s="9"/>
      <c r="N211" s="9"/>
      <c r="O211" s="9"/>
      <c r="P211" s="9"/>
      <c r="Q211" s="9"/>
      <c r="R211" s="9"/>
      <c r="S211" s="9"/>
      <c r="T211" s="9"/>
      <c r="U211" s="9"/>
      <c r="V211" s="9"/>
    </row>
    <row r="212" spans="1:22" x14ac:dyDescent="0.2">
      <c r="A212" s="9"/>
      <c r="B212" s="24"/>
      <c r="C212" s="9"/>
      <c r="D212" s="9"/>
      <c r="E212" s="9"/>
      <c r="F212" s="9"/>
      <c r="G212" s="9"/>
      <c r="H212" s="9"/>
      <c r="I212" s="9"/>
      <c r="J212" s="9"/>
      <c r="K212" s="9"/>
      <c r="L212" s="9"/>
      <c r="M212" s="9"/>
      <c r="N212" s="9"/>
      <c r="O212" s="9"/>
      <c r="P212" s="9"/>
      <c r="Q212" s="9"/>
      <c r="R212" s="9"/>
      <c r="S212" s="9"/>
      <c r="T212" s="9"/>
      <c r="U212" s="9"/>
      <c r="V212" s="9"/>
    </row>
    <row r="213" spans="1:22" x14ac:dyDescent="0.2">
      <c r="A213" s="9"/>
      <c r="B213" s="24"/>
      <c r="C213" s="9"/>
      <c r="D213" s="9"/>
      <c r="E213" s="9"/>
      <c r="F213" s="9"/>
      <c r="G213" s="9"/>
      <c r="H213" s="9"/>
      <c r="I213" s="9"/>
      <c r="J213" s="9"/>
      <c r="K213" s="9"/>
      <c r="L213" s="9"/>
      <c r="M213" s="9"/>
      <c r="N213" s="9"/>
      <c r="O213" s="9"/>
      <c r="P213" s="9"/>
      <c r="Q213" s="9"/>
      <c r="R213" s="9"/>
      <c r="S213" s="9"/>
      <c r="T213" s="9"/>
      <c r="U213" s="9"/>
      <c r="V213" s="9"/>
    </row>
    <row r="214" spans="1:22" x14ac:dyDescent="0.2">
      <c r="A214" s="9"/>
      <c r="B214" s="24"/>
      <c r="C214" s="9"/>
      <c r="D214" s="9"/>
      <c r="E214" s="9"/>
      <c r="F214" s="9"/>
      <c r="G214" s="9"/>
      <c r="H214" s="9"/>
      <c r="I214" s="9"/>
      <c r="J214" s="9"/>
      <c r="K214" s="9"/>
      <c r="L214" s="9"/>
      <c r="M214" s="9"/>
      <c r="N214" s="9"/>
      <c r="O214" s="9"/>
      <c r="P214" s="9"/>
      <c r="Q214" s="9"/>
      <c r="R214" s="9"/>
      <c r="S214" s="9"/>
      <c r="T214" s="9"/>
      <c r="U214" s="9"/>
      <c r="V214" s="9"/>
    </row>
    <row r="215" spans="1:22" x14ac:dyDescent="0.2">
      <c r="A215" s="9"/>
      <c r="B215" s="24"/>
      <c r="C215" s="9"/>
      <c r="D215" s="9"/>
      <c r="E215" s="9"/>
      <c r="F215" s="9"/>
      <c r="G215" s="9"/>
      <c r="H215" s="9"/>
      <c r="I215" s="9"/>
      <c r="J215" s="9"/>
      <c r="K215" s="9"/>
      <c r="L215" s="9"/>
      <c r="M215" s="9"/>
      <c r="N215" s="9"/>
      <c r="O215" s="9"/>
      <c r="P215" s="9"/>
      <c r="Q215" s="9"/>
      <c r="R215" s="9"/>
      <c r="S215" s="9"/>
      <c r="T215" s="9"/>
      <c r="U215" s="9"/>
      <c r="V215" s="9"/>
    </row>
  </sheetData>
  <mergeCells count="2">
    <mergeCell ref="A1:Z1"/>
    <mergeCell ref="A2:Z2"/>
  </mergeCells>
  <pageMargins left="0.7" right="0.7" top="0.75" bottom="0.75" header="0.3" footer="0.3"/>
  <pageSetup paperSize="9" orientation="portrait" r:id="rId1"/>
  <headerFooter>
    <oddHeader>&amp;L&amp;"Calibri"&amp;12&amp;K0000FF Uso Interno&amp;1#_x000D_</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55"/>
  <sheetViews>
    <sheetView showGridLines="0" zoomScaleNormal="100" workbookViewId="0">
      <selection activeCell="M7" sqref="M7"/>
    </sheetView>
  </sheetViews>
  <sheetFormatPr defaultColWidth="9.5" defaultRowHeight="11.25" x14ac:dyDescent="0.2"/>
  <cols>
    <col min="1" max="1" width="1.33203125" style="47" customWidth="1"/>
    <col min="2" max="2" width="5.1640625" customWidth="1"/>
    <col min="3" max="3" width="6.83203125" customWidth="1"/>
    <col min="4" max="4" width="7.6640625" customWidth="1"/>
    <col min="5" max="5" width="6.5" customWidth="1"/>
    <col min="6" max="6" width="10.6640625" customWidth="1"/>
    <col min="7" max="7" width="2.33203125" customWidth="1"/>
    <col min="8" max="8" width="8.33203125" customWidth="1"/>
    <col min="9" max="9" width="6.5" customWidth="1"/>
    <col min="10" max="10" width="5" customWidth="1"/>
    <col min="11" max="11" width="6.5" customWidth="1"/>
    <col min="12" max="12" width="9.1640625" customWidth="1"/>
    <col min="13" max="13" width="11" customWidth="1"/>
    <col min="14" max="14" width="2.83203125" customWidth="1"/>
    <col min="15" max="17" width="6.5" customWidth="1"/>
    <col min="18" max="18" width="2.1640625" customWidth="1"/>
    <col min="19" max="19" width="1.1640625" style="43" customWidth="1"/>
    <col min="20" max="20" width="2.1640625" customWidth="1"/>
    <col min="21" max="21" width="47.1640625" customWidth="1"/>
    <col min="22" max="22" width="2.33203125" customWidth="1"/>
    <col min="23" max="23" width="12" customWidth="1"/>
    <col min="24" max="24" width="2.83203125" customWidth="1"/>
    <col min="25" max="26" width="9.33203125" customWidth="1"/>
    <col min="27" max="27" width="18.1640625" customWidth="1"/>
    <col min="28" max="28" width="1.1640625" style="17" customWidth="1"/>
    <col min="29" max="29" width="4.5" customWidth="1"/>
    <col min="30" max="30" width="2.33203125" style="17" customWidth="1"/>
    <col min="31" max="31" width="41.5" customWidth="1"/>
    <col min="32" max="32" width="8.1640625" customWidth="1"/>
    <col min="33" max="33" width="7.6640625" customWidth="1"/>
    <col min="34" max="34" width="9.33203125" customWidth="1"/>
    <col min="35" max="35" width="14.5" customWidth="1"/>
    <col min="36" max="36" width="9.33203125" customWidth="1"/>
    <col min="37" max="37" width="13.83203125" customWidth="1"/>
    <col min="38" max="38" width="9.33203125" style="17" customWidth="1"/>
    <col min="39" max="43" width="9.33203125" customWidth="1"/>
    <col min="44" max="44" width="9.5" customWidth="1"/>
  </cols>
  <sheetData>
    <row r="1" spans="1:40" s="108" customFormat="1" ht="72.75" customHeight="1" x14ac:dyDescent="0.2">
      <c r="A1" s="107"/>
      <c r="B1" s="136">
        <v>2024</v>
      </c>
      <c r="C1" s="136"/>
      <c r="D1" s="136"/>
      <c r="E1" s="136"/>
      <c r="F1" s="136"/>
      <c r="G1" s="136"/>
      <c r="H1" s="136"/>
      <c r="I1" s="136"/>
      <c r="J1" s="136"/>
      <c r="K1" s="136"/>
      <c r="L1" s="136"/>
      <c r="M1" s="136"/>
      <c r="N1" s="136"/>
      <c r="O1" s="136"/>
      <c r="P1" s="136"/>
      <c r="Q1" s="136"/>
      <c r="R1" s="136"/>
      <c r="T1" s="137" t="s">
        <v>0</v>
      </c>
      <c r="U1" s="138"/>
      <c r="V1" s="138"/>
      <c r="W1" s="138"/>
      <c r="X1" s="138"/>
      <c r="Y1" s="138"/>
      <c r="Z1" s="138"/>
      <c r="AA1" s="138"/>
      <c r="AB1" s="138"/>
      <c r="AC1" s="138"/>
      <c r="AD1" s="138"/>
      <c r="AE1" s="138"/>
      <c r="AF1" s="138"/>
      <c r="AG1" s="138"/>
      <c r="AH1" s="138"/>
      <c r="AI1" s="138"/>
      <c r="AJ1" s="138"/>
      <c r="AK1" s="138"/>
      <c r="AL1" s="138"/>
      <c r="AM1" s="138"/>
      <c r="AN1" s="138"/>
    </row>
    <row r="2" spans="1:40" ht="15" customHeight="1" x14ac:dyDescent="0.2">
      <c r="A2" s="46"/>
      <c r="B2" s="139" t="s">
        <v>1</v>
      </c>
      <c r="C2" s="139"/>
      <c r="D2" s="139"/>
      <c r="E2" s="139"/>
      <c r="F2" s="139"/>
      <c r="G2" s="139"/>
      <c r="H2" s="139"/>
      <c r="I2" s="139"/>
      <c r="J2" s="139"/>
    </row>
    <row r="3" spans="1:40" ht="15" customHeight="1" x14ac:dyDescent="0.25">
      <c r="C3" s="5"/>
      <c r="D3" s="5"/>
      <c r="E3" s="5"/>
      <c r="F3" s="5"/>
      <c r="G3" s="5"/>
      <c r="H3" s="5"/>
      <c r="I3" s="5"/>
      <c r="J3" s="5"/>
      <c r="K3" s="5"/>
      <c r="L3" s="5"/>
      <c r="M3" s="5"/>
      <c r="N3" s="5"/>
      <c r="O3" s="5"/>
      <c r="P3" s="5"/>
      <c r="Q3" s="5"/>
      <c r="T3" s="20"/>
      <c r="U3" s="65" t="s">
        <v>2</v>
      </c>
      <c r="V3" s="5"/>
      <c r="W3" s="5"/>
      <c r="Y3" s="106" t="s">
        <v>159</v>
      </c>
      <c r="AE3" s="105" t="s">
        <v>160</v>
      </c>
    </row>
    <row r="4" spans="1:40" ht="15.75" x14ac:dyDescent="0.25">
      <c r="A4" s="46"/>
      <c r="C4" s="140" t="s">
        <v>3</v>
      </c>
      <c r="D4" s="140"/>
      <c r="E4" s="140"/>
      <c r="F4" s="140"/>
      <c r="G4" s="140"/>
      <c r="H4" s="140"/>
      <c r="I4" s="140"/>
      <c r="J4" s="71"/>
      <c r="K4" s="140" t="s">
        <v>4</v>
      </c>
      <c r="L4" s="140"/>
      <c r="M4" s="140"/>
      <c r="N4" s="140"/>
      <c r="O4" s="140"/>
      <c r="P4" s="140"/>
      <c r="Q4" s="140"/>
      <c r="T4" s="20"/>
      <c r="U4" s="51" t="s">
        <v>5</v>
      </c>
      <c r="V4" s="5"/>
      <c r="W4" s="5"/>
      <c r="Z4" s="4"/>
    </row>
    <row r="5" spans="1:40" ht="15" x14ac:dyDescent="0.2">
      <c r="A5" s="46"/>
      <c r="C5" s="3" t="s">
        <v>6</v>
      </c>
      <c r="D5" s="3" t="s">
        <v>7</v>
      </c>
      <c r="E5" s="3" t="s">
        <v>8</v>
      </c>
      <c r="F5" s="3" t="s">
        <v>9</v>
      </c>
      <c r="G5" s="3" t="s">
        <v>10</v>
      </c>
      <c r="H5" s="3" t="s">
        <v>11</v>
      </c>
      <c r="I5" s="3" t="s">
        <v>12</v>
      </c>
      <c r="J5" s="5"/>
      <c r="K5" s="3" t="s">
        <v>6</v>
      </c>
      <c r="L5" s="3" t="s">
        <v>7</v>
      </c>
      <c r="M5" s="3" t="s">
        <v>8</v>
      </c>
      <c r="N5" s="3" t="s">
        <v>9</v>
      </c>
      <c r="O5" s="3" t="s">
        <v>10</v>
      </c>
      <c r="P5" s="3" t="s">
        <v>11</v>
      </c>
      <c r="Q5" s="3" t="s">
        <v>12</v>
      </c>
      <c r="U5" s="2"/>
      <c r="V5" s="5"/>
      <c r="W5" s="5"/>
    </row>
    <row r="6" spans="1:40" ht="15" customHeight="1" x14ac:dyDescent="0.2">
      <c r="C6" s="7" t="str">
        <f>IF(DAY(JulDom1)=1,"",IF(AND(YEAR(JulDom1+1)=AnoDoCalendário,MONTH(JulDom1+1)=7),JulDom1+1,""))</f>
        <v/>
      </c>
      <c r="D6" s="7">
        <f>IF(DAY(JulDom1)=1,"",IF(AND(YEAR(JulDom1+2)=AnoDoCalendário,MONTH(JulDom1+2)=7),JulDom1+2,""))</f>
        <v>45474</v>
      </c>
      <c r="E6" s="7">
        <f>IF(DAY(JulDom1)=1,"",IF(AND(YEAR(JulDom1+3)=AnoDoCalendário,MONTH(JulDom1+3)=7),JulDom1+3,""))</f>
        <v>45475</v>
      </c>
      <c r="F6" s="7">
        <f>IF(DAY(JulDom1)=1,"",IF(AND(YEAR(JulDom1+4)=AnoDoCalendário,MONTH(JulDom1+4)=7),JulDom1+4,""))</f>
        <v>45476</v>
      </c>
      <c r="G6" s="7">
        <f>IF(DAY(JulDom1)=1,"",IF(AND(YEAR(JulDom1+5)=AnoDoCalendário,MONTH(JulDom1+5)=7),JulDom1+5,""))</f>
        <v>45477</v>
      </c>
      <c r="H6" s="7">
        <f>IF(DAY(JulDom1)=1,"",IF(AND(YEAR(JulDom1+6)=AnoDoCalendário,MONTH(JulDom1+6)=7),JulDom1+6,""))</f>
        <v>45478</v>
      </c>
      <c r="I6" s="7">
        <f>IF(DAY(JulDom1)=1,IF(AND(YEAR(JulDom1)=AnoDoCalendário,MONTH(JulDom1)=7),JulDom1,""),IF(AND(YEAR(JulDom1+7)=AnoDoCalendário,MONTH(JulDom1+7)=7),JulDom1+7,""))</f>
        <v>45479</v>
      </c>
      <c r="J6" s="5"/>
      <c r="K6" s="7" t="str">
        <f>IF(DAY(AgoDom1)=1,"",IF(AND(YEAR(AgoDom1+1)=AnoDoCalendário,MONTH(AgoDom1+1)=8),AgoDom1+1,""))</f>
        <v/>
      </c>
      <c r="L6" s="7" t="str">
        <f>IF(DAY(AgoDom1)=1,"",IF(AND(YEAR(AgoDom1+2)=AnoDoCalendário,MONTH(AgoDom1+2)=8),AgoDom1+2,""))</f>
        <v/>
      </c>
      <c r="M6" s="7" t="str">
        <f>IF(DAY(AgoDom1)=1,"",IF(AND(YEAR(AgoDom1+3)=AnoDoCalendário,MONTH(AgoDom1+3)=8),AgoDom1+3,""))</f>
        <v/>
      </c>
      <c r="N6" s="7" t="str">
        <f>IF(DAY(AgoDom1)=1,"",IF(AND(YEAR(AgoDom1+4)=AnoDoCalendário,MONTH(AgoDom1+4)=8),AgoDom1+4,""))</f>
        <v/>
      </c>
      <c r="O6" s="44">
        <f>IF(DAY(AgoDom1)=1,"",IF(AND(YEAR(AgoDom1+5)=AnoDoCalendário,MONTH(AgoDom1+5)=8),AgoDom1+5,""))</f>
        <v>45505</v>
      </c>
      <c r="P6" s="44">
        <f>IF(DAY(AgoDom1)=1,"",IF(AND(YEAR(AgoDom1+6)=AnoDoCalendário,MONTH(AgoDom1+6)=8),AgoDom1+6,""))</f>
        <v>45506</v>
      </c>
      <c r="Q6" s="44">
        <f>IF(DAY(AgoDom1)=1,IF(AND(YEAR(AgoDom1)=AnoDoCalendário,MONTH(AgoDom1)=8),AgoDom1,""),IF(AND(YEAR(AgoDom1+7)=AnoDoCalendário,MONTH(AgoDom1+7)=8),AgoDom1+7,""))</f>
        <v>45507</v>
      </c>
      <c r="U6" s="11" t="s">
        <v>13</v>
      </c>
      <c r="W6" s="13" t="s">
        <v>14</v>
      </c>
      <c r="X6" s="13"/>
      <c r="Y6" s="13"/>
      <c r="Z6" s="13"/>
      <c r="AA6" s="13"/>
      <c r="AB6" s="66"/>
      <c r="AD6" s="40"/>
      <c r="AE6" s="55" t="s">
        <v>13</v>
      </c>
      <c r="AF6" s="38"/>
      <c r="AG6" s="38" t="s">
        <v>14</v>
      </c>
      <c r="AH6" s="38"/>
      <c r="AI6" s="38"/>
      <c r="AJ6" s="38"/>
      <c r="AK6" s="38"/>
      <c r="AL6" s="40"/>
    </row>
    <row r="7" spans="1:40" ht="15" customHeight="1" x14ac:dyDescent="0.2">
      <c r="C7" s="44">
        <f>IF(DAY(JulDom1)=1,IF(AND(YEAR(JulDom1+1)=AnoDoCalendário,MONTH(JulDom1+1)=7),JulDom1+1,""),IF(AND(YEAR(JulDom1+8)=AnoDoCalendário,MONTH(JulDom1+8)=7),JulDom1+8,""))</f>
        <v>45480</v>
      </c>
      <c r="D7" s="7">
        <f>IF(DAY(JulDom1)=1,IF(AND(YEAR(JulDom1+2)=AnoDoCalendário,MONTH(JulDom1+2)=7),JulDom1+2,""),IF(AND(YEAR(JulDom1+9)=AnoDoCalendário,MONTH(JulDom1+9)=7),JulDom1+9,""))</f>
        <v>45481</v>
      </c>
      <c r="E7" s="7">
        <f>IF(DAY(JulDom1)=1,IF(AND(YEAR(JulDom1+3)=AnoDoCalendário,MONTH(JulDom1+3)=7),JulDom1+3,""),IF(AND(YEAR(JulDom1+10)=AnoDoCalendário,MONTH(JulDom1+10)=7),JulDom1+10,""))</f>
        <v>45482</v>
      </c>
      <c r="F7" s="44">
        <f>IF(DAY(JulDom1)=1,IF(AND(YEAR(JulDom1+4)=AnoDoCalendário,MONTH(JulDom1+4)=7),JulDom1+4,""),IF(AND(YEAR(JulDom1+11)=AnoDoCalendário,MONTH(JulDom1+11)=7),JulDom1+11,""))</f>
        <v>45483</v>
      </c>
      <c r="G7" s="7">
        <f>IF(DAY(JulDom1)=1,IF(AND(YEAR(JulDom1+5)=AnoDoCalendário,MONTH(JulDom1+5)=7),JulDom1+5,""),IF(AND(YEAR(JulDom1+12)=AnoDoCalendário,MONTH(JulDom1+12)=7),JulDom1+12,""))</f>
        <v>45484</v>
      </c>
      <c r="H7" s="44">
        <f>IF(DAY(JulDom1)=1,IF(AND(YEAR(JulDom1+6)=AnoDoCalendário,MONTH(JulDom1+6)=7),JulDom1+6,""),IF(AND(YEAR(JulDom1+13)=AnoDoCalendário,MONTH(JulDom1+13)=7),JulDom1+13,""))</f>
        <v>45485</v>
      </c>
      <c r="I7" s="44">
        <f>IF(DAY(JulDom1)=1,IF(AND(YEAR(JulDom1+7)=AnoDoCalendário,MONTH(JulDom1+7)=7),JulDom1+7,""),IF(AND(YEAR(JulDom1+14)=AnoDoCalendário,MONTH(JulDom1+14)=7),JulDom1+14,""))</f>
        <v>45486</v>
      </c>
      <c r="J7" s="5"/>
      <c r="K7" s="7">
        <f>IF(DAY(AgoDom1)=1,IF(AND(YEAR(AgoDom1+1)=AnoDoCalendário,MONTH(AgoDom1+1)=8),AgoDom1+1,""),IF(AND(YEAR(AgoDom1+8)=AnoDoCalendário,MONTH(AgoDom1+8)=8),AgoDom1+8,""))</f>
        <v>45508</v>
      </c>
      <c r="L7" s="7">
        <f>IF(DAY(AgoDom1)=1,IF(AND(YEAR(AgoDom1+2)=AnoDoCalendário,MONTH(AgoDom1+2)=8),AgoDom1+2,""),IF(AND(YEAR(AgoDom1+9)=AnoDoCalendário,MONTH(AgoDom1+9)=8),AgoDom1+9,""))</f>
        <v>45509</v>
      </c>
      <c r="M7" s="7">
        <f>IF(DAY(AgoDom1)=1,IF(AND(YEAR(AgoDom1+3)=AnoDoCalendário,MONTH(AgoDom1+3)=8),AgoDom1+3,""),IF(AND(YEAR(AgoDom1+10)=AnoDoCalendário,MONTH(AgoDom1+10)=8),AgoDom1+10,""))</f>
        <v>45510</v>
      </c>
      <c r="N7" s="7">
        <f>IF(DAY(AgoDom1)=1,IF(AND(YEAR(AgoDom1+4)=AnoDoCalendário,MONTH(AgoDom1+4)=8),AgoDom1+4,""),IF(AND(YEAR(AgoDom1+11)=AnoDoCalendário,MONTH(AgoDom1+11)=8),AgoDom1+11,""))</f>
        <v>45511</v>
      </c>
      <c r="O7" s="7">
        <f>IF(DAY(AgoDom1)=1,IF(AND(YEAR(AgoDom1+5)=AnoDoCalendário,MONTH(AgoDom1+5)=8),AgoDom1+5,""),IF(AND(YEAR(AgoDom1+12)=AnoDoCalendário,MONTH(AgoDom1+12)=8),AgoDom1+12,""))</f>
        <v>45512</v>
      </c>
      <c r="P7" s="44">
        <f>IF(DAY(AgoDom1)=1,IF(AND(YEAR(AgoDom1+6)=AnoDoCalendário,MONTH(AgoDom1+6)=8),AgoDom1+6,""),IF(AND(YEAR(AgoDom1+13)=AnoDoCalendário,MONTH(AgoDom1+13)=8),AgoDom1+13,""))</f>
        <v>45513</v>
      </c>
      <c r="Q7" s="44">
        <f>IF(DAY(AgoDom1)=1,IF(AND(YEAR(AgoDom1+7)=AnoDoCalendário,MONTH(AgoDom1+7)=8),AgoDom1+7,""),IF(AND(YEAR(AgoDom1+14)=AnoDoCalendário,MONTH(AgoDom1+14)=8),AgoDom1+14,""))</f>
        <v>45514</v>
      </c>
      <c r="U7" s="141" t="s">
        <v>15</v>
      </c>
      <c r="W7" s="130" t="s">
        <v>16</v>
      </c>
      <c r="X7" s="144"/>
      <c r="Y7" s="144"/>
      <c r="Z7" s="144"/>
      <c r="AA7" s="144"/>
      <c r="AB7" s="67"/>
      <c r="AD7" s="40"/>
      <c r="AE7" s="115"/>
      <c r="AF7" s="38"/>
      <c r="AG7" s="118"/>
      <c r="AH7" s="119"/>
      <c r="AI7" s="119"/>
      <c r="AJ7" s="119"/>
      <c r="AK7" s="120"/>
      <c r="AL7" s="40"/>
    </row>
    <row r="8" spans="1:40" ht="15" customHeight="1" x14ac:dyDescent="0.2">
      <c r="C8" s="7">
        <f>IF(DAY(JulDom1)=1,IF(AND(YEAR(JulDom1+8)=AnoDoCalendário,MONTH(JulDom1+8)=7),JulDom1+8,""),IF(AND(YEAR(JulDom1+15)=AnoDoCalendário,MONTH(JulDom1+15)=7),JulDom1+15,""))</f>
        <v>45487</v>
      </c>
      <c r="D8" s="44">
        <f>IF(DAY(JulDom1)=1,IF(AND(YEAR(JulDom1+9)=AnoDoCalendário,MONTH(JulDom1+9)=7),JulDom1+9,""),IF(AND(YEAR(JulDom1+16)=AnoDoCalendário,MONTH(JulDom1+16)=7),JulDom1+16,""))</f>
        <v>45488</v>
      </c>
      <c r="E8" s="44">
        <f>IF(DAY(JulDom1)=1,IF(AND(YEAR(JulDom1+10)=AnoDoCalendário,MONTH(JulDom1+10)=7),JulDom1+10,""),IF(AND(YEAR(JulDom1+17)=AnoDoCalendário,MONTH(JulDom1+17)=7),JulDom1+17,""))</f>
        <v>45489</v>
      </c>
      <c r="F8" s="7">
        <f>IF(DAY(JulDom1)=1,IF(AND(YEAR(JulDom1+11)=AnoDoCalendário,MONTH(JulDom1+11)=7),JulDom1+11,""),IF(AND(YEAR(JulDom1+18)=AnoDoCalendário,MONTH(JulDom1+18)=7),JulDom1+18,""))</f>
        <v>45490</v>
      </c>
      <c r="G8" s="44">
        <f>IF(DAY(JulDom1)=1,IF(AND(YEAR(JulDom1+12)=AnoDoCalendário,MONTH(JulDom1+12)=7),JulDom1+12,""),IF(AND(YEAR(JulDom1+19)=AnoDoCalendário,MONTH(JulDom1+19)=7),JulDom1+19,""))</f>
        <v>45491</v>
      </c>
      <c r="H8" s="7">
        <f>IF(DAY(JulDom1)=1,IF(AND(YEAR(JulDom1+13)=AnoDoCalendário,MONTH(JulDom1+13)=7),JulDom1+13,""),IF(AND(YEAR(JulDom1+20)=AnoDoCalendário,MONTH(JulDom1+20)=7),JulDom1+20,""))</f>
        <v>45492</v>
      </c>
      <c r="I8" s="44">
        <f>IF(DAY(JulDom1)=1,IF(AND(YEAR(JulDom1+14)=AnoDoCalendário,MONTH(JulDom1+14)=7),JulDom1+14,""),IF(AND(YEAR(JulDom1+21)=AnoDoCalendário,MONTH(JulDom1+21)=7),JulDom1+21,""))</f>
        <v>45493</v>
      </c>
      <c r="J8" s="5"/>
      <c r="K8" s="7">
        <f>IF(DAY(AgoDom1)=1,IF(AND(YEAR(AgoDom1+8)=AnoDoCalendário,MONTH(AgoDom1+8)=8),AgoDom1+8,""),IF(AND(YEAR(AgoDom1+15)=AnoDoCalendário,MONTH(AgoDom1+15)=8),AgoDom1+15,""))</f>
        <v>45515</v>
      </c>
      <c r="L8" s="44">
        <f>IF(DAY(AgoDom1)=1,IF(AND(YEAR(AgoDom1+9)=AnoDoCalendário,MONTH(AgoDom1+9)=8),AgoDom1+9,""),IF(AND(YEAR(AgoDom1+16)=AnoDoCalendário,MONTH(AgoDom1+16)=8),AgoDom1+16,""))</f>
        <v>45516</v>
      </c>
      <c r="M8" s="44">
        <f>IF(DAY(AgoDom1)=1,IF(AND(YEAR(AgoDom1+10)=AnoDoCalendário,MONTH(AgoDom1+10)=8),AgoDom1+10,""),IF(AND(YEAR(AgoDom1+17)=AnoDoCalendário,MONTH(AgoDom1+17)=8),AgoDom1+17,""))</f>
        <v>45517</v>
      </c>
      <c r="N8" s="44">
        <f>IF(DAY(AgoDom1)=1,IF(AND(YEAR(AgoDom1+11)=AnoDoCalendário,MONTH(AgoDom1+11)=8),AgoDom1+11,""),IF(AND(YEAR(AgoDom1+18)=AnoDoCalendário,MONTH(AgoDom1+18)=8),AgoDom1+18,""))</f>
        <v>45518</v>
      </c>
      <c r="O8" s="44">
        <f>IF(DAY(AgoDom1)=1,IF(AND(YEAR(AgoDom1+12)=AnoDoCalendário,MONTH(AgoDom1+12)=8),AgoDom1+12,""),IF(AND(YEAR(AgoDom1+19)=AnoDoCalendário,MONTH(AgoDom1+19)=8),AgoDom1+19,""))</f>
        <v>45519</v>
      </c>
      <c r="P8" s="44">
        <f>IF(DAY(AgoDom1)=1,IF(AND(YEAR(AgoDom1+13)=AnoDoCalendário,MONTH(AgoDom1+13)=8),AgoDom1+13,""),IF(AND(YEAR(AgoDom1+20)=AnoDoCalendário,MONTH(AgoDom1+20)=8),AgoDom1+20,""))</f>
        <v>45520</v>
      </c>
      <c r="Q8" s="44">
        <f>IF(DAY(AgoDom1)=1,IF(AND(YEAR(AgoDom1+14)=AnoDoCalendário,MONTH(AgoDom1+14)=8),AgoDom1+14,""),IF(AND(YEAR(AgoDom1+21)=AnoDoCalendário,MONTH(AgoDom1+21)=8),AgoDom1+21,""))</f>
        <v>45521</v>
      </c>
      <c r="U8" s="142"/>
      <c r="W8" s="145"/>
      <c r="X8" s="146"/>
      <c r="Y8" s="146"/>
      <c r="Z8" s="146"/>
      <c r="AA8" s="146"/>
      <c r="AB8" s="68"/>
      <c r="AD8" s="40"/>
      <c r="AE8" s="116"/>
      <c r="AF8" s="38"/>
      <c r="AG8" s="121"/>
      <c r="AH8" s="122"/>
      <c r="AI8" s="122"/>
      <c r="AJ8" s="122"/>
      <c r="AK8" s="123"/>
      <c r="AL8" s="40"/>
    </row>
    <row r="9" spans="1:40" ht="15" x14ac:dyDescent="0.2">
      <c r="A9" s="46"/>
      <c r="C9" s="44">
        <f>IF(DAY(JulDom1)=1,IF(AND(YEAR(JulDom1+15)=AnoDoCalendário,MONTH(JulDom1+15)=7),JulDom1+15,""),IF(AND(YEAR(JulDom1+22)=AnoDoCalendário,MONTH(JulDom1+22)=7),JulDom1+22,""))</f>
        <v>45494</v>
      </c>
      <c r="D9" s="7">
        <f>IF(DAY(JulDom1)=1,IF(AND(YEAR(JulDom1+16)=AnoDoCalendário,MONTH(JulDom1+16)=7),JulDom1+16,""),IF(AND(YEAR(JulDom1+23)=AnoDoCalendário,MONTH(JulDom1+23)=7),JulDom1+23,""))</f>
        <v>45495</v>
      </c>
      <c r="E9" s="7">
        <f>IF(DAY(JulDom1)=1,IF(AND(YEAR(JulDom1+17)=AnoDoCalendário,MONTH(JulDom1+17)=7),JulDom1+17,""),IF(AND(YEAR(JulDom1+24)=AnoDoCalendário,MONTH(JulDom1+24)=7),JulDom1+24,""))</f>
        <v>45496</v>
      </c>
      <c r="F9" s="44">
        <f>IF(DAY(JulDom1)=1,IF(AND(YEAR(JulDom1+18)=AnoDoCalendário,MONTH(JulDom1+18)=7),JulDom1+18,""),IF(AND(YEAR(JulDom1+25)=AnoDoCalendário,MONTH(JulDom1+25)=7),JulDom1+25,""))</f>
        <v>45497</v>
      </c>
      <c r="G9" s="44">
        <f>IF(DAY(JulDom1)=1,IF(AND(YEAR(JulDom1+19)=AnoDoCalendário,MONTH(JulDom1+19)=7),JulDom1+19,""),IF(AND(YEAR(JulDom1+26)=AnoDoCalendário,MONTH(JulDom1+26)=7),JulDom1+26,""))</f>
        <v>45498</v>
      </c>
      <c r="H9" s="7">
        <f>IF(DAY(JulDom1)=1,IF(AND(YEAR(JulDom1+20)=AnoDoCalendário,MONTH(JulDom1+20)=7),JulDom1+20,""),IF(AND(YEAR(JulDom1+27)=AnoDoCalendário,MONTH(JulDom1+27)=7),JulDom1+27,""))</f>
        <v>45499</v>
      </c>
      <c r="I9" s="7">
        <f>IF(DAY(JulDom1)=1,IF(AND(YEAR(JulDom1+21)=AnoDoCalendário,MONTH(JulDom1+21)=7),JulDom1+21,""),IF(AND(YEAR(JulDom1+28)=AnoDoCalendário,MONTH(JulDom1+28)=7),JulDom1+28,""))</f>
        <v>45500</v>
      </c>
      <c r="J9" s="5"/>
      <c r="K9" s="7">
        <f>IF(DAY(AgoDom1)=1,IF(AND(YEAR(AgoDom1+15)=AnoDoCalendário,MONTH(AgoDom1+15)=8),AgoDom1+15,""),IF(AND(YEAR(AgoDom1+22)=AnoDoCalendário,MONTH(AgoDom1+22)=8),AgoDom1+22,""))</f>
        <v>45522</v>
      </c>
      <c r="L9" s="7">
        <f>IF(DAY(AgoDom1)=1,IF(AND(YEAR(AgoDom1+16)=AnoDoCalendário,MONTH(AgoDom1+16)=8),AgoDom1+16,""),IF(AND(YEAR(AgoDom1+23)=AnoDoCalendário,MONTH(AgoDom1+23)=8),AgoDom1+23,""))</f>
        <v>45523</v>
      </c>
      <c r="M9" s="7">
        <f>IF(DAY(AgoDom1)=1,IF(AND(YEAR(AgoDom1+17)=AnoDoCalendário,MONTH(AgoDom1+17)=8),AgoDom1+17,""),IF(AND(YEAR(AgoDom1+24)=AnoDoCalendário,MONTH(AgoDom1+24)=8),AgoDom1+24,""))</f>
        <v>45524</v>
      </c>
      <c r="N9" s="7">
        <f>IF(DAY(AgoDom1)=1,IF(AND(YEAR(AgoDom1+18)=AnoDoCalendário,MONTH(AgoDom1+18)=8),AgoDom1+18,""),IF(AND(YEAR(AgoDom1+25)=AnoDoCalendário,MONTH(AgoDom1+25)=8),AgoDom1+25,""))</f>
        <v>45525</v>
      </c>
      <c r="O9" s="7">
        <f>IF(DAY(AgoDom1)=1,IF(AND(YEAR(AgoDom1+19)=AnoDoCalendário,MONTH(AgoDom1+19)=8),AgoDom1+19,""),IF(AND(YEAR(AgoDom1+26)=AnoDoCalendário,MONTH(AgoDom1+26)=8),AgoDom1+26,""))</f>
        <v>45526</v>
      </c>
      <c r="P9" s="44">
        <f>IF(DAY(AgoDom1)=1,IF(AND(YEAR(AgoDom1+20)=AnoDoCalendário,MONTH(AgoDom1+20)=8),AgoDom1+20,""),IF(AND(YEAR(AgoDom1+27)=AnoDoCalendário,MONTH(AgoDom1+27)=8),AgoDom1+27,""))</f>
        <v>45527</v>
      </c>
      <c r="Q9" s="44">
        <f>IF(DAY(AgoDom1)=1,IF(AND(YEAR(AgoDom1+21)=AnoDoCalendário,MONTH(AgoDom1+21)=8),AgoDom1+21,""),IF(AND(YEAR(AgoDom1+28)=AnoDoCalendário,MONTH(AgoDom1+28)=8),AgoDom1+28,""))</f>
        <v>45528</v>
      </c>
      <c r="U9" s="142"/>
      <c r="W9" s="145"/>
      <c r="X9" s="146"/>
      <c r="Y9" s="146"/>
      <c r="Z9" s="146"/>
      <c r="AA9" s="146"/>
      <c r="AB9" s="68"/>
      <c r="AD9" s="40"/>
      <c r="AE9" s="116"/>
      <c r="AF9" s="38"/>
      <c r="AG9" s="121"/>
      <c r="AH9" s="122"/>
      <c r="AI9" s="122"/>
      <c r="AJ9" s="122"/>
      <c r="AK9" s="123"/>
      <c r="AL9" s="40"/>
    </row>
    <row r="10" spans="1:40" ht="15" x14ac:dyDescent="0.2">
      <c r="A10" s="46"/>
      <c r="C10" s="7">
        <f>IF(DAY(JulDom1)=1,IF(AND(YEAR(JulDom1+22)=AnoDoCalendário,MONTH(JulDom1+22)=7),JulDom1+22,""),IF(AND(YEAR(JulDom1+29)=AnoDoCalendário,MONTH(JulDom1+29)=7),JulDom1+29,""))</f>
        <v>45501</v>
      </c>
      <c r="D10" s="7">
        <f>IF(DAY(JulDom1)=1,IF(AND(YEAR(JulDom1+23)=AnoDoCalendário,MONTH(JulDom1+23)=7),JulDom1+23,""),IF(AND(YEAR(JulDom1+30)=AnoDoCalendário,MONTH(JulDom1+30)=7),JulDom1+30,""))</f>
        <v>45502</v>
      </c>
      <c r="E10" s="7">
        <f>IF(DAY(JulDom1)=1,IF(AND(YEAR(JulDom1+24)=AnoDoCalendário,MONTH(JulDom1+24)=7),JulDom1+24,""),IF(AND(YEAR(JulDom1+31)=AnoDoCalendário,MONTH(JulDom1+31)=7),JulDom1+31,""))</f>
        <v>45503</v>
      </c>
      <c r="F10" s="44">
        <f>IF(DAY(JulDom1)=1,IF(AND(YEAR(JulDom1+25)=AnoDoCalendário,MONTH(JulDom1+25)=7),JulDom1+25,""),IF(AND(YEAR(JulDom1+32)=AnoDoCalendário,MONTH(JulDom1+32)=7),JulDom1+32,""))</f>
        <v>45504</v>
      </c>
      <c r="G10" s="44" t="str">
        <f>IF(DAY(JulDom1)=1,IF(AND(YEAR(JulDom1+26)=AnoDoCalendário,MONTH(JulDom1+26)=7),JulDom1+26,""),IF(AND(YEAR(JulDom1+33)=AnoDoCalendário,MONTH(JulDom1+33)=7),JulDom1+33,""))</f>
        <v/>
      </c>
      <c r="H10" s="7" t="str">
        <f>IF(DAY(JulDom1)=1,IF(AND(YEAR(JulDom1+27)=AnoDoCalendário,MONTH(JulDom1+27)=7),JulDom1+27,""),IF(AND(YEAR(JulDom1+34)=AnoDoCalendário,MONTH(JulDom1+34)=7),JulDom1+34,""))</f>
        <v/>
      </c>
      <c r="I10" s="7" t="str">
        <f>IF(DAY(JulDom1)=1,IF(AND(YEAR(JulDom1+28)=AnoDoCalendário,MONTH(JulDom1+28)=7),JulDom1+28,""),IF(AND(YEAR(JulDom1+35)=AnoDoCalendário,MONTH(JulDom1+35)=7),JulDom1+35,""))</f>
        <v/>
      </c>
      <c r="J10" s="5"/>
      <c r="K10" s="44">
        <f>IF(DAY(AgoDom1)=1,IF(AND(YEAR(AgoDom1+22)=AnoDoCalendário,MONTH(AgoDom1+22)=8),AgoDom1+22,""),IF(AND(YEAR(AgoDom1+29)=AnoDoCalendário,MONTH(AgoDom1+29)=8),AgoDom1+29,""))</f>
        <v>45529</v>
      </c>
      <c r="L10" s="7">
        <f>IF(DAY(AgoDom1)=1,IF(AND(YEAR(AgoDom1+23)=AnoDoCalendário,MONTH(AgoDom1+23)=8),AgoDom1+23,""),IF(AND(YEAR(AgoDom1+30)=AnoDoCalendário,MONTH(AgoDom1+30)=8),AgoDom1+30,""))</f>
        <v>45530</v>
      </c>
      <c r="M10" s="7">
        <f>IF(DAY(AgoDom1)=1,IF(AND(YEAR(AgoDom1+24)=AnoDoCalendário,MONTH(AgoDom1+24)=8),AgoDom1+24,""),IF(AND(YEAR(AgoDom1+31)=AnoDoCalendário,MONTH(AgoDom1+31)=8),AgoDom1+31,""))</f>
        <v>45531</v>
      </c>
      <c r="N10" s="44">
        <f>IF(DAY(AgoDom1)=1,IF(AND(YEAR(AgoDom1+25)=AnoDoCalendário,MONTH(AgoDom1+25)=8),AgoDom1+25,""),IF(AND(YEAR(AgoDom1+32)=AnoDoCalendário,MONTH(AgoDom1+32)=8),AgoDom1+32,""))</f>
        <v>45532</v>
      </c>
      <c r="O10" s="44">
        <f>IF(DAY(AgoDom1)=1,IF(AND(YEAR(AgoDom1+26)=AnoDoCalendário,MONTH(AgoDom1+26)=8),AgoDom1+26,""),IF(AND(YEAR(AgoDom1+33)=AnoDoCalendário,MONTH(AgoDom1+33)=8),AgoDom1+33,""))</f>
        <v>45533</v>
      </c>
      <c r="P10" s="7">
        <f>IF(DAY(AgoDom1)=1,IF(AND(YEAR(AgoDom1+27)=AnoDoCalendário,MONTH(AgoDom1+27)=8),AgoDom1+27,""),IF(AND(YEAR(AgoDom1+34)=AnoDoCalendário,MONTH(AgoDom1+34)=8),AgoDom1+34,""))</f>
        <v>45534</v>
      </c>
      <c r="Q10" s="7">
        <f>IF(DAY(AgoDom1)=1,IF(AND(YEAR(AgoDom1+28)=AnoDoCalendário,MONTH(AgoDom1+28)=8),AgoDom1+28,""),IF(AND(YEAR(AgoDom1+35)=AnoDoCalendário,MONTH(AgoDom1+35)=8),AgoDom1+35,""))</f>
        <v>45535</v>
      </c>
      <c r="U10" s="142"/>
      <c r="W10" s="145"/>
      <c r="X10" s="146"/>
      <c r="Y10" s="146"/>
      <c r="Z10" s="146"/>
      <c r="AA10" s="146"/>
      <c r="AB10" s="68"/>
      <c r="AD10" s="40"/>
      <c r="AE10" s="116"/>
      <c r="AF10" s="38"/>
      <c r="AG10" s="121"/>
      <c r="AH10" s="122"/>
      <c r="AI10" s="122"/>
      <c r="AJ10" s="122"/>
      <c r="AK10" s="123"/>
      <c r="AL10" s="40"/>
    </row>
    <row r="11" spans="1:40" ht="15" x14ac:dyDescent="0.2">
      <c r="A11" s="46"/>
      <c r="C11" s="7" t="str">
        <f>IF(DAY(JulDom1)=1,IF(AND(YEAR(JulDom1+29)=AnoDoCalendário,MONTH(JulDom1+29)=7),JulDom1+29,""),IF(AND(YEAR(JulDom1+36)=AnoDoCalendário,MONTH(JulDom1+36)=7),JulDom1+36,""))</f>
        <v/>
      </c>
      <c r="D11" s="44" t="str">
        <f>IF(DAY(JulDom1)=1,IF(AND(YEAR(JulDom1+30)=AnoDoCalendário,MONTH(JulDom1+30)=7),JulDom1+30,""),IF(AND(YEAR(JulDom1+37)=AnoDoCalendário,MONTH(JulDom1+37)=7),JulDom1+37,""))</f>
        <v/>
      </c>
      <c r="E11" s="7" t="str">
        <f>IF(DAY(JulDom1)=1,IF(AND(YEAR(JulDom1+31)=AnoDoCalendário,MONTH(JulDom1+31)=7),JulDom1+31,""),IF(AND(YEAR(JulDom1+38)=AnoDoCalendário,MONTH(JulDom1+38)=7),JulDom1+38,""))</f>
        <v/>
      </c>
      <c r="F11" s="7" t="str">
        <f>IF(DAY(JulDom1)=1,IF(AND(YEAR(JulDom1+32)=AnoDoCalendário,MONTH(JulDom1+32)=7),JulDom1+32,""),IF(AND(YEAR(JulDom1+39)=AnoDoCalendário,MONTH(JulDom1+39)=7),JulDom1+39,""))</f>
        <v/>
      </c>
      <c r="G11" s="7" t="str">
        <f>IF(DAY(JulDom1)=1,IF(AND(YEAR(JulDom1+33)=AnoDoCalendário,MONTH(JulDom1+33)=7),JulDom1+33,""),IF(AND(YEAR(JulDom1+40)=AnoDoCalendário,MONTH(JulDom1+40)=7),JulDom1+40,""))</f>
        <v/>
      </c>
      <c r="H11" s="7" t="str">
        <f>IF(DAY(JulDom1)=1,IF(AND(YEAR(JulDom1+34)=AnoDoCalendário,MONTH(JulDom1+34)=7),JulDom1+34,""),IF(AND(YEAR(JulDom1+41)=AnoDoCalendário,MONTH(JulDom1+41)=7),JulDom1+41,""))</f>
        <v/>
      </c>
      <c r="I11" s="7" t="str">
        <f>IF(DAY(JulDom1)=1,IF(AND(YEAR(JulDom1+35)=AnoDoCalendário,MONTH(JulDom1+35)=7),JulDom1+35,""),IF(AND(YEAR(JulDom1+42)=AnoDoCalendário,MONTH(JulDom1+42)=7),JulDom1+42,""))</f>
        <v/>
      </c>
      <c r="J11" s="5"/>
      <c r="K11" s="7" t="str">
        <f>IF(DAY(AgoDom1)=1,IF(AND(YEAR(AgoDom1+29)=AnoDoCalendário,MONTH(AgoDom1+29)=8),AgoDom1+29,""),IF(AND(YEAR(AgoDom1+36)=AnoDoCalendário,MONTH(AgoDom1+36)=8),AgoDom1+36,""))</f>
        <v/>
      </c>
      <c r="L11" s="7" t="str">
        <f>IF(DAY(AgoDom1)=1,IF(AND(YEAR(AgoDom1+30)=AnoDoCalendário,MONTH(AgoDom1+30)=8),AgoDom1+30,""),IF(AND(YEAR(AgoDom1+37)=AnoDoCalendário,MONTH(AgoDom1+37)=8),AgoDom1+37,""))</f>
        <v/>
      </c>
      <c r="M11" s="7" t="str">
        <f>IF(DAY(AgoDom1)=1,IF(AND(YEAR(AgoDom1+31)=AnoDoCalendário,MONTH(AgoDom1+31)=8),AgoDom1+31,""),IF(AND(YEAR(AgoDom1+38)=AnoDoCalendário,MONTH(AgoDom1+38)=8),AgoDom1+38,""))</f>
        <v/>
      </c>
      <c r="N11" s="7" t="str">
        <f>IF(DAY(AgoDom1)=1,IF(AND(YEAR(AgoDom1+32)=AnoDoCalendário,MONTH(AgoDom1+32)=8),AgoDom1+32,""),IF(AND(YEAR(AgoDom1+39)=AnoDoCalendário,MONTH(AgoDom1+39)=8),AgoDom1+39,""))</f>
        <v/>
      </c>
      <c r="O11" s="7" t="str">
        <f>IF(DAY(AgoDom1)=1,IF(AND(YEAR(AgoDom1+33)=AnoDoCalendário,MONTH(AgoDom1+33)=8),AgoDom1+33,""),IF(AND(YEAR(AgoDom1+40)=AnoDoCalendário,MONTH(AgoDom1+40)=8),AgoDom1+40,""))</f>
        <v/>
      </c>
      <c r="P11" s="7" t="str">
        <f>IF(DAY(AgoDom1)=1,IF(AND(YEAR(AgoDom1+34)=AnoDoCalendário,MONTH(AgoDom1+34)=8),AgoDom1+34,""),IF(AND(YEAR(AgoDom1+41)=AnoDoCalendário,MONTH(AgoDom1+41)=8),AgoDom1+41,""))</f>
        <v/>
      </c>
      <c r="Q11" s="7" t="str">
        <f>IF(DAY(AgoDom1)=1,IF(AND(YEAR(AgoDom1+35)=AnoDoCalendário,MONTH(AgoDom1+35)=8),AgoDom1+35,""),IF(AND(YEAR(AgoDom1+42)=AnoDoCalendário,MONTH(AgoDom1+42)=8),AgoDom1+42,""))</f>
        <v/>
      </c>
      <c r="U11" s="143"/>
      <c r="W11" s="147"/>
      <c r="X11" s="148"/>
      <c r="Y11" s="148"/>
      <c r="Z11" s="148"/>
      <c r="AA11" s="148"/>
      <c r="AB11" s="69"/>
      <c r="AD11" s="40"/>
      <c r="AE11" s="117"/>
      <c r="AF11" s="38"/>
      <c r="AG11" s="124"/>
      <c r="AH11" s="125"/>
      <c r="AI11" s="125"/>
      <c r="AJ11" s="125"/>
      <c r="AK11" s="126"/>
      <c r="AL11" s="40"/>
    </row>
    <row r="12" spans="1:40" ht="15" x14ac:dyDescent="0.2">
      <c r="A12" s="48"/>
      <c r="B12" s="22"/>
      <c r="C12" s="22"/>
      <c r="D12" s="22"/>
      <c r="E12" s="22"/>
      <c r="F12" s="22"/>
      <c r="G12" s="22"/>
      <c r="H12" s="22"/>
      <c r="I12" s="22"/>
      <c r="J12" s="23"/>
      <c r="K12" s="22"/>
      <c r="L12" s="22"/>
      <c r="M12" s="22"/>
      <c r="N12" s="22"/>
      <c r="O12" s="22"/>
      <c r="P12" s="22"/>
      <c r="Q12" s="22"/>
      <c r="R12" s="22"/>
      <c r="U12" s="1"/>
      <c r="AD12" s="40"/>
      <c r="AE12" s="56"/>
      <c r="AF12" s="38"/>
      <c r="AG12" s="38"/>
      <c r="AH12" s="38"/>
      <c r="AI12" s="38"/>
      <c r="AJ12" s="38"/>
      <c r="AK12" s="38"/>
      <c r="AL12" s="40"/>
    </row>
    <row r="13" spans="1:40" ht="15" x14ac:dyDescent="0.2">
      <c r="A13" s="46"/>
      <c r="C13" s="149"/>
      <c r="D13" s="149"/>
      <c r="E13" s="149"/>
      <c r="F13" s="149"/>
      <c r="G13" s="149"/>
      <c r="H13" s="149"/>
      <c r="I13" s="149"/>
      <c r="J13" s="5"/>
      <c r="K13" s="150"/>
      <c r="L13" s="150"/>
      <c r="M13" s="150"/>
      <c r="N13" s="150"/>
      <c r="O13" s="150"/>
      <c r="P13" s="150"/>
      <c r="Q13" s="150"/>
      <c r="U13" s="12" t="s">
        <v>17</v>
      </c>
      <c r="W13" s="12" t="s">
        <v>18</v>
      </c>
      <c r="X13" s="12"/>
      <c r="Y13" s="12"/>
      <c r="Z13" s="12"/>
      <c r="AA13" s="12"/>
      <c r="AB13" s="18"/>
      <c r="AD13" s="40"/>
      <c r="AE13" s="38" t="s">
        <v>17</v>
      </c>
      <c r="AF13" s="38"/>
      <c r="AG13" s="38" t="s">
        <v>18</v>
      </c>
      <c r="AH13" s="38"/>
      <c r="AI13" s="38"/>
      <c r="AJ13" s="38"/>
      <c r="AK13" s="38"/>
      <c r="AL13" s="40"/>
    </row>
    <row r="14" spans="1:40" ht="15" customHeight="1" x14ac:dyDescent="0.2">
      <c r="A14" s="46"/>
      <c r="C14" s="26" t="s">
        <v>19</v>
      </c>
      <c r="D14" s="27"/>
      <c r="E14" s="28"/>
      <c r="F14" s="27" t="s">
        <v>20</v>
      </c>
      <c r="G14" s="28"/>
      <c r="H14" s="28" t="s">
        <v>21</v>
      </c>
      <c r="I14" s="3"/>
      <c r="J14" s="75"/>
      <c r="K14" s="26" t="s">
        <v>19</v>
      </c>
      <c r="L14" s="27"/>
      <c r="M14" s="27" t="s">
        <v>20</v>
      </c>
      <c r="N14" s="27"/>
      <c r="O14" s="27" t="s">
        <v>21</v>
      </c>
      <c r="P14" s="75"/>
      <c r="Q14" s="79"/>
      <c r="R14" s="17"/>
      <c r="U14" s="151" t="s">
        <v>22</v>
      </c>
      <c r="W14" s="130" t="s">
        <v>23</v>
      </c>
      <c r="X14" s="131"/>
      <c r="Y14" s="131"/>
      <c r="Z14" s="131"/>
      <c r="AA14" s="131"/>
      <c r="AB14" s="67"/>
      <c r="AD14" s="40"/>
      <c r="AE14" s="127"/>
      <c r="AF14" s="38"/>
      <c r="AG14" s="118"/>
      <c r="AH14" s="119"/>
      <c r="AI14" s="119"/>
      <c r="AJ14" s="119"/>
      <c r="AK14" s="120"/>
      <c r="AL14" s="40"/>
    </row>
    <row r="15" spans="1:40" ht="15" customHeight="1" x14ac:dyDescent="0.2">
      <c r="A15" s="46"/>
      <c r="C15" s="29" t="s">
        <v>140</v>
      </c>
      <c r="D15" s="30"/>
      <c r="E15" s="31"/>
      <c r="F15" s="104">
        <v>45474</v>
      </c>
      <c r="G15" s="100"/>
      <c r="H15" s="73" t="s">
        <v>24</v>
      </c>
      <c r="I15" s="74"/>
      <c r="J15" s="74"/>
      <c r="K15" s="29" t="s">
        <v>118</v>
      </c>
      <c r="L15" s="81"/>
      <c r="M15" s="101">
        <v>45505</v>
      </c>
      <c r="N15" s="102"/>
      <c r="O15" s="73" t="s">
        <v>24</v>
      </c>
      <c r="P15" s="76"/>
      <c r="Q15" s="74"/>
      <c r="R15" s="17"/>
      <c r="U15" s="152"/>
      <c r="W15" s="132"/>
      <c r="X15" s="133"/>
      <c r="Y15" s="133"/>
      <c r="Z15" s="133"/>
      <c r="AA15" s="133"/>
      <c r="AB15" s="68"/>
      <c r="AD15" s="40"/>
      <c r="AE15" s="128"/>
      <c r="AF15" s="38"/>
      <c r="AG15" s="121"/>
      <c r="AH15" s="122"/>
      <c r="AI15" s="122"/>
      <c r="AJ15" s="122"/>
      <c r="AK15" s="123"/>
      <c r="AL15" s="40"/>
    </row>
    <row r="16" spans="1:40" ht="15" customHeight="1" x14ac:dyDescent="0.2">
      <c r="A16" s="46"/>
      <c r="C16" s="32" t="s">
        <v>141</v>
      </c>
      <c r="D16" s="33"/>
      <c r="E16" s="34"/>
      <c r="F16" s="103">
        <v>45476</v>
      </c>
      <c r="G16" s="98"/>
      <c r="H16" s="73" t="s">
        <v>24</v>
      </c>
      <c r="I16" s="7"/>
      <c r="J16" s="17"/>
      <c r="K16" s="32" t="s">
        <v>119</v>
      </c>
      <c r="L16" s="33"/>
      <c r="M16" s="97">
        <v>45506</v>
      </c>
      <c r="N16" s="98"/>
      <c r="O16" s="73" t="s">
        <v>24</v>
      </c>
      <c r="P16" s="17"/>
      <c r="Q16" s="78"/>
      <c r="R16" s="17"/>
      <c r="U16" s="152"/>
      <c r="W16" s="132"/>
      <c r="X16" s="133"/>
      <c r="Y16" s="133"/>
      <c r="Z16" s="133"/>
      <c r="AA16" s="133"/>
      <c r="AB16" s="68"/>
      <c r="AD16" s="40"/>
      <c r="AE16" s="128"/>
      <c r="AF16" s="38"/>
      <c r="AG16" s="121"/>
      <c r="AH16" s="122"/>
      <c r="AI16" s="122"/>
      <c r="AJ16" s="122"/>
      <c r="AK16" s="123"/>
      <c r="AL16" s="40"/>
    </row>
    <row r="17" spans="1:38" ht="15" customHeight="1" x14ac:dyDescent="0.2">
      <c r="C17" s="29" t="s">
        <v>142</v>
      </c>
      <c r="D17" s="30"/>
      <c r="E17" s="31"/>
      <c r="F17" s="104">
        <v>45477</v>
      </c>
      <c r="G17" s="100"/>
      <c r="H17" s="73" t="s">
        <v>24</v>
      </c>
      <c r="I17" s="7"/>
      <c r="J17" s="76"/>
      <c r="K17" s="29" t="s">
        <v>120</v>
      </c>
      <c r="L17" s="82"/>
      <c r="M17" s="99">
        <v>45507</v>
      </c>
      <c r="N17" s="100"/>
      <c r="O17" s="73" t="s">
        <v>24</v>
      </c>
      <c r="P17" s="76"/>
      <c r="Q17" s="78"/>
      <c r="R17" s="17"/>
      <c r="U17" s="152"/>
      <c r="W17" s="132"/>
      <c r="X17" s="133"/>
      <c r="Y17" s="133"/>
      <c r="Z17" s="133"/>
      <c r="AA17" s="133"/>
      <c r="AB17" s="68"/>
      <c r="AD17" s="40"/>
      <c r="AE17" s="128"/>
      <c r="AF17" s="38"/>
      <c r="AG17" s="121"/>
      <c r="AH17" s="122"/>
      <c r="AI17" s="122"/>
      <c r="AJ17" s="122"/>
      <c r="AK17" s="123"/>
      <c r="AL17" s="40"/>
    </row>
    <row r="18" spans="1:38" ht="15" customHeight="1" x14ac:dyDescent="0.2">
      <c r="C18" s="32" t="s">
        <v>143</v>
      </c>
      <c r="D18" s="33"/>
      <c r="E18" s="34"/>
      <c r="F18" s="103">
        <v>45479</v>
      </c>
      <c r="G18" s="98"/>
      <c r="H18" s="73" t="s">
        <v>24</v>
      </c>
      <c r="I18" s="7"/>
      <c r="J18" s="17"/>
      <c r="K18" s="32" t="s">
        <v>121</v>
      </c>
      <c r="L18" s="83"/>
      <c r="M18" s="97">
        <v>45509</v>
      </c>
      <c r="N18" s="98"/>
      <c r="O18" s="73" t="s">
        <v>24</v>
      </c>
      <c r="P18" s="17"/>
      <c r="Q18" s="78"/>
      <c r="R18" s="17"/>
      <c r="U18" s="152"/>
      <c r="W18" s="132"/>
      <c r="X18" s="133"/>
      <c r="Y18" s="133"/>
      <c r="Z18" s="133"/>
      <c r="AA18" s="133"/>
      <c r="AB18" s="68"/>
      <c r="AD18" s="40"/>
      <c r="AE18" s="128"/>
      <c r="AF18" s="38"/>
      <c r="AG18" s="121"/>
      <c r="AH18" s="122"/>
      <c r="AI18" s="122"/>
      <c r="AJ18" s="122"/>
      <c r="AK18" s="123"/>
      <c r="AL18" s="40"/>
    </row>
    <row r="19" spans="1:38" ht="15" customHeight="1" x14ac:dyDescent="0.2">
      <c r="C19" s="29" t="s">
        <v>144</v>
      </c>
      <c r="D19" s="30"/>
      <c r="E19" s="31"/>
      <c r="F19" s="104">
        <v>45478</v>
      </c>
      <c r="G19" s="100"/>
      <c r="H19" s="73" t="s">
        <v>24</v>
      </c>
      <c r="I19" s="7"/>
      <c r="J19" s="76"/>
      <c r="K19" s="29" t="s">
        <v>122</v>
      </c>
      <c r="L19" s="82"/>
      <c r="M19" s="99">
        <v>45510</v>
      </c>
      <c r="N19" s="100"/>
      <c r="O19" s="73" t="s">
        <v>24</v>
      </c>
      <c r="P19" s="76"/>
      <c r="Q19" s="78"/>
      <c r="R19" s="17"/>
      <c r="U19" s="152"/>
      <c r="W19" s="132"/>
      <c r="X19" s="133"/>
      <c r="Y19" s="133"/>
      <c r="Z19" s="133"/>
      <c r="AA19" s="133"/>
      <c r="AB19" s="68"/>
      <c r="AD19" s="40"/>
      <c r="AE19" s="128"/>
      <c r="AF19" s="38"/>
      <c r="AG19" s="121"/>
      <c r="AH19" s="122"/>
      <c r="AI19" s="122"/>
      <c r="AJ19" s="122"/>
      <c r="AK19" s="123"/>
      <c r="AL19" s="40"/>
    </row>
    <row r="20" spans="1:38" ht="15" customHeight="1" x14ac:dyDescent="0.25">
      <c r="C20" s="32" t="s">
        <v>25</v>
      </c>
      <c r="D20" s="33"/>
      <c r="E20" s="49"/>
      <c r="F20" s="103">
        <v>45480</v>
      </c>
      <c r="G20" s="98"/>
      <c r="H20" s="73" t="s">
        <v>24</v>
      </c>
      <c r="I20" s="7"/>
      <c r="J20" s="77"/>
      <c r="K20" s="32" t="s">
        <v>123</v>
      </c>
      <c r="L20" s="83"/>
      <c r="M20" s="97">
        <v>45511</v>
      </c>
      <c r="N20" s="98"/>
      <c r="O20" s="73" t="s">
        <v>24</v>
      </c>
      <c r="P20" s="17"/>
      <c r="Q20" s="78"/>
      <c r="R20" s="17"/>
      <c r="U20" s="153"/>
      <c r="W20" s="134"/>
      <c r="X20" s="135"/>
      <c r="Y20" s="135"/>
      <c r="Z20" s="135"/>
      <c r="AA20" s="135"/>
      <c r="AB20" s="69"/>
      <c r="AD20" s="40"/>
      <c r="AE20" s="129"/>
      <c r="AF20" s="38"/>
      <c r="AG20" s="124"/>
      <c r="AH20" s="125"/>
      <c r="AI20" s="125"/>
      <c r="AJ20" s="125"/>
      <c r="AK20" s="126"/>
      <c r="AL20" s="40"/>
    </row>
    <row r="21" spans="1:38" ht="15" customHeight="1" x14ac:dyDescent="0.2">
      <c r="C21" s="29" t="s">
        <v>145</v>
      </c>
      <c r="D21" s="30"/>
      <c r="E21" s="31"/>
      <c r="F21" s="104">
        <v>45481</v>
      </c>
      <c r="G21" s="100"/>
      <c r="H21" s="73" t="s">
        <v>24</v>
      </c>
      <c r="J21" s="76"/>
      <c r="K21" s="29" t="s">
        <v>124</v>
      </c>
      <c r="L21" s="82"/>
      <c r="M21" s="99">
        <v>45513</v>
      </c>
      <c r="N21" s="100"/>
      <c r="O21" s="73" t="s">
        <v>24</v>
      </c>
      <c r="P21" s="76"/>
      <c r="Q21" s="17"/>
      <c r="R21" s="17"/>
      <c r="U21" s="8"/>
      <c r="V21" s="8"/>
      <c r="W21" s="8"/>
      <c r="X21" s="8"/>
      <c r="Y21" s="8"/>
      <c r="Z21" s="8"/>
      <c r="AA21" s="8"/>
      <c r="AD21" s="40"/>
      <c r="AE21" s="60"/>
      <c r="AF21" s="60"/>
      <c r="AG21" s="60"/>
      <c r="AH21" s="60"/>
      <c r="AI21" s="60"/>
      <c r="AJ21" s="60"/>
      <c r="AK21" s="60"/>
      <c r="AL21" s="40"/>
    </row>
    <row r="22" spans="1:38" ht="15" customHeight="1" x14ac:dyDescent="0.2">
      <c r="C22" s="32" t="s">
        <v>26</v>
      </c>
      <c r="D22" s="33"/>
      <c r="E22" s="34"/>
      <c r="F22" s="103">
        <v>45483</v>
      </c>
      <c r="G22" s="98"/>
      <c r="H22" s="73" t="s">
        <v>24</v>
      </c>
      <c r="J22" s="17"/>
      <c r="K22" s="32" t="s">
        <v>125</v>
      </c>
      <c r="L22" s="83"/>
      <c r="M22" s="97">
        <v>45515</v>
      </c>
      <c r="N22" s="98"/>
      <c r="O22" s="73" t="s">
        <v>24</v>
      </c>
      <c r="P22" s="17"/>
      <c r="Q22" s="17"/>
      <c r="R22" s="17"/>
      <c r="U22" s="38" t="s">
        <v>27</v>
      </c>
      <c r="V22" s="38"/>
      <c r="W22" s="38"/>
      <c r="X22" s="38"/>
      <c r="Y22" s="38"/>
      <c r="Z22" s="38"/>
      <c r="AA22" s="38"/>
      <c r="AB22" s="40"/>
      <c r="AD22" s="40"/>
      <c r="AE22" s="47" t="s">
        <v>27</v>
      </c>
      <c r="AF22" s="47"/>
      <c r="AG22" s="47"/>
      <c r="AH22" s="47"/>
      <c r="AI22" s="47"/>
      <c r="AJ22" s="47"/>
      <c r="AK22" s="47"/>
      <c r="AL22" s="40"/>
    </row>
    <row r="23" spans="1:38" ht="15" customHeight="1" x14ac:dyDescent="0.2">
      <c r="C23" s="29" t="s">
        <v>146</v>
      </c>
      <c r="D23" s="30"/>
      <c r="E23" s="31"/>
      <c r="F23" s="104">
        <v>45486</v>
      </c>
      <c r="G23" s="100"/>
      <c r="H23" s="73" t="s">
        <v>24</v>
      </c>
      <c r="J23" s="76"/>
      <c r="K23" s="29" t="s">
        <v>126</v>
      </c>
      <c r="L23" s="82"/>
      <c r="M23" s="99">
        <v>45515</v>
      </c>
      <c r="N23" s="100"/>
      <c r="O23" s="73" t="s">
        <v>24</v>
      </c>
      <c r="P23" s="76"/>
      <c r="Q23" s="17"/>
      <c r="R23" s="17"/>
      <c r="U23" s="55" t="s">
        <v>13</v>
      </c>
      <c r="V23" s="38"/>
      <c r="W23" s="38" t="s">
        <v>14</v>
      </c>
      <c r="X23" s="38"/>
      <c r="Y23" s="38"/>
      <c r="Z23" s="38"/>
      <c r="AA23" s="38"/>
      <c r="AB23" s="40"/>
      <c r="AD23" s="40"/>
      <c r="AE23" s="58" t="s">
        <v>13</v>
      </c>
      <c r="AF23" s="47"/>
      <c r="AG23" s="47" t="s">
        <v>14</v>
      </c>
      <c r="AH23" s="47"/>
      <c r="AI23" s="47"/>
      <c r="AJ23" s="47"/>
      <c r="AK23" s="47"/>
      <c r="AL23" s="40"/>
    </row>
    <row r="24" spans="1:38" ht="15" customHeight="1" x14ac:dyDescent="0.2">
      <c r="C24" s="32" t="s">
        <v>147</v>
      </c>
      <c r="D24" s="33"/>
      <c r="E24" s="34"/>
      <c r="F24" s="103">
        <v>45487</v>
      </c>
      <c r="G24" s="98"/>
      <c r="H24" s="73" t="s">
        <v>24</v>
      </c>
      <c r="J24" s="17"/>
      <c r="K24" s="32" t="s">
        <v>127</v>
      </c>
      <c r="L24" s="83"/>
      <c r="M24" s="97">
        <v>45517</v>
      </c>
      <c r="N24" s="98"/>
      <c r="O24" s="73" t="s">
        <v>24</v>
      </c>
      <c r="P24" s="17"/>
      <c r="Q24" s="17"/>
      <c r="R24" s="17"/>
      <c r="U24" s="115"/>
      <c r="V24" s="38"/>
      <c r="W24" s="118"/>
      <c r="X24" s="119"/>
      <c r="Y24" s="119"/>
      <c r="Z24" s="119"/>
      <c r="AA24" s="120"/>
      <c r="AB24" s="70"/>
      <c r="AD24" s="40"/>
      <c r="AE24" s="115"/>
      <c r="AF24" s="47"/>
      <c r="AG24" s="118"/>
      <c r="AH24" s="119"/>
      <c r="AI24" s="119"/>
      <c r="AJ24" s="119"/>
      <c r="AK24" s="120"/>
      <c r="AL24" s="40"/>
    </row>
    <row r="25" spans="1:38" ht="15" customHeight="1" x14ac:dyDescent="0.2">
      <c r="C25" s="29" t="s">
        <v>28</v>
      </c>
      <c r="D25" s="30"/>
      <c r="E25" s="31"/>
      <c r="F25" s="104">
        <v>45489</v>
      </c>
      <c r="G25" s="100"/>
      <c r="H25" s="73" t="s">
        <v>24</v>
      </c>
      <c r="J25" s="76"/>
      <c r="K25" s="29" t="s">
        <v>128</v>
      </c>
      <c r="L25" s="82"/>
      <c r="M25" s="99">
        <v>45518</v>
      </c>
      <c r="N25" s="100"/>
      <c r="O25" s="73" t="s">
        <v>24</v>
      </c>
      <c r="P25" s="76"/>
      <c r="Q25" s="17"/>
      <c r="R25" s="17"/>
      <c r="U25" s="116"/>
      <c r="V25" s="38"/>
      <c r="W25" s="121"/>
      <c r="X25" s="122"/>
      <c r="Y25" s="122"/>
      <c r="Z25" s="122"/>
      <c r="AA25" s="123"/>
      <c r="AB25" s="70"/>
      <c r="AD25" s="40"/>
      <c r="AE25" s="116"/>
      <c r="AF25" s="47"/>
      <c r="AG25" s="121"/>
      <c r="AH25" s="122"/>
      <c r="AI25" s="122"/>
      <c r="AJ25" s="122"/>
      <c r="AK25" s="123"/>
      <c r="AL25" s="40"/>
    </row>
    <row r="26" spans="1:38" ht="17.25" customHeight="1" x14ac:dyDescent="0.2">
      <c r="C26" s="32" t="s">
        <v>148</v>
      </c>
      <c r="D26" s="33"/>
      <c r="E26" s="34"/>
      <c r="F26" s="103">
        <v>45490</v>
      </c>
      <c r="G26" s="98"/>
      <c r="H26" s="73" t="s">
        <v>24</v>
      </c>
      <c r="J26" s="17"/>
      <c r="K26" s="32" t="s">
        <v>129</v>
      </c>
      <c r="L26" s="83"/>
      <c r="M26" s="97">
        <v>45518</v>
      </c>
      <c r="N26" s="98"/>
      <c r="O26" s="73" t="s">
        <v>24</v>
      </c>
      <c r="P26" s="17"/>
      <c r="Q26" s="17"/>
      <c r="R26" s="17"/>
      <c r="U26" s="116"/>
      <c r="V26" s="38"/>
      <c r="W26" s="121"/>
      <c r="X26" s="122"/>
      <c r="Y26" s="122"/>
      <c r="Z26" s="122"/>
      <c r="AA26" s="123"/>
      <c r="AB26" s="70"/>
      <c r="AD26" s="40"/>
      <c r="AE26" s="116"/>
      <c r="AF26" s="47"/>
      <c r="AG26" s="121"/>
      <c r="AH26" s="122"/>
      <c r="AI26" s="122"/>
      <c r="AJ26" s="122"/>
      <c r="AK26" s="123"/>
      <c r="AL26" s="40"/>
    </row>
    <row r="27" spans="1:38" ht="15" customHeight="1" x14ac:dyDescent="0.2">
      <c r="C27" s="29" t="s">
        <v>149</v>
      </c>
      <c r="D27" s="30"/>
      <c r="E27" s="31"/>
      <c r="F27" s="104">
        <v>45491</v>
      </c>
      <c r="G27" s="100"/>
      <c r="H27" s="73" t="s">
        <v>24</v>
      </c>
      <c r="J27" s="76"/>
      <c r="K27" s="29" t="s">
        <v>130</v>
      </c>
      <c r="L27" s="82"/>
      <c r="M27" s="99">
        <v>45519</v>
      </c>
      <c r="N27" s="100"/>
      <c r="O27" s="73" t="s">
        <v>24</v>
      </c>
      <c r="P27" s="76"/>
      <c r="Q27" s="17"/>
      <c r="R27" s="17"/>
      <c r="U27" s="116"/>
      <c r="V27" s="38"/>
      <c r="W27" s="121"/>
      <c r="X27" s="122"/>
      <c r="Y27" s="122"/>
      <c r="Z27" s="122"/>
      <c r="AA27" s="123"/>
      <c r="AB27" s="70"/>
      <c r="AD27" s="40"/>
      <c r="AE27" s="116"/>
      <c r="AF27" s="47"/>
      <c r="AG27" s="121"/>
      <c r="AH27" s="122"/>
      <c r="AI27" s="122"/>
      <c r="AJ27" s="122"/>
      <c r="AK27" s="123"/>
      <c r="AL27" s="40"/>
    </row>
    <row r="28" spans="1:38" ht="15" customHeight="1" x14ac:dyDescent="0.2">
      <c r="C28" s="32" t="s">
        <v>150</v>
      </c>
      <c r="D28" s="33"/>
      <c r="E28" s="34"/>
      <c r="F28" s="103">
        <v>45492</v>
      </c>
      <c r="G28" s="98"/>
      <c r="H28" s="73" t="s">
        <v>24</v>
      </c>
      <c r="J28" s="17"/>
      <c r="K28" s="32" t="s">
        <v>131</v>
      </c>
      <c r="L28" s="83"/>
      <c r="M28" s="97">
        <v>45520</v>
      </c>
      <c r="N28" s="98"/>
      <c r="O28" s="73" t="s">
        <v>24</v>
      </c>
      <c r="P28" s="17"/>
      <c r="Q28" s="17"/>
      <c r="R28" s="17"/>
      <c r="U28" s="117"/>
      <c r="V28" s="38"/>
      <c r="W28" s="124"/>
      <c r="X28" s="125"/>
      <c r="Y28" s="125"/>
      <c r="Z28" s="125"/>
      <c r="AA28" s="126"/>
      <c r="AB28" s="70"/>
      <c r="AD28" s="40"/>
      <c r="AE28" s="117"/>
      <c r="AF28" s="47"/>
      <c r="AG28" s="124"/>
      <c r="AH28" s="125"/>
      <c r="AI28" s="125"/>
      <c r="AJ28" s="125"/>
      <c r="AK28" s="126"/>
      <c r="AL28" s="40"/>
    </row>
    <row r="29" spans="1:38" ht="15" customHeight="1" x14ac:dyDescent="0.2">
      <c r="C29" s="29" t="s">
        <v>151</v>
      </c>
      <c r="D29" s="30"/>
      <c r="E29" s="31"/>
      <c r="F29" s="104">
        <v>45492</v>
      </c>
      <c r="G29" s="100"/>
      <c r="H29" s="73" t="s">
        <v>24</v>
      </c>
      <c r="J29" s="76"/>
      <c r="K29" s="29" t="s">
        <v>132</v>
      </c>
      <c r="L29" s="82"/>
      <c r="M29" s="99">
        <v>45522</v>
      </c>
      <c r="N29" s="100"/>
      <c r="O29" s="73" t="s">
        <v>24</v>
      </c>
      <c r="P29" s="76"/>
      <c r="Q29" s="17"/>
      <c r="R29" s="17"/>
      <c r="U29" s="56"/>
      <c r="V29" s="38"/>
      <c r="W29" s="38"/>
      <c r="X29" s="38"/>
      <c r="Y29" s="38"/>
      <c r="Z29" s="38"/>
      <c r="AA29" s="38"/>
      <c r="AB29" s="40"/>
      <c r="AD29" s="40"/>
      <c r="AE29" s="59"/>
      <c r="AF29" s="47"/>
      <c r="AG29" s="47"/>
      <c r="AH29" s="47"/>
      <c r="AI29" s="47"/>
      <c r="AJ29" s="47"/>
      <c r="AK29" s="47"/>
      <c r="AL29" s="40"/>
    </row>
    <row r="30" spans="1:38" s="4" customFormat="1" ht="15" customHeight="1" x14ac:dyDescent="0.2">
      <c r="A30" s="47"/>
      <c r="B30"/>
      <c r="C30" s="32" t="s">
        <v>152</v>
      </c>
      <c r="D30" s="33"/>
      <c r="E30" s="34"/>
      <c r="F30" s="103">
        <v>45493</v>
      </c>
      <c r="G30" s="98"/>
      <c r="H30" s="73" t="s">
        <v>24</v>
      </c>
      <c r="I30"/>
      <c r="J30" s="17"/>
      <c r="K30" s="32" t="s">
        <v>133</v>
      </c>
      <c r="L30" s="83"/>
      <c r="M30" s="97">
        <v>45523</v>
      </c>
      <c r="N30" s="98"/>
      <c r="O30" s="73" t="s">
        <v>24</v>
      </c>
      <c r="P30" s="17"/>
      <c r="Q30" s="17"/>
      <c r="R30" s="17"/>
      <c r="S30" s="43"/>
      <c r="T30"/>
      <c r="U30" s="38"/>
      <c r="V30" s="38"/>
      <c r="W30" s="38" t="s">
        <v>18</v>
      </c>
      <c r="X30" s="38"/>
      <c r="Y30" s="38"/>
      <c r="Z30" s="38"/>
      <c r="AA30" s="38"/>
      <c r="AB30" s="40"/>
      <c r="AC30"/>
      <c r="AD30" s="40"/>
      <c r="AE30" s="47" t="s">
        <v>17</v>
      </c>
      <c r="AF30" s="47"/>
      <c r="AG30" s="47" t="s">
        <v>18</v>
      </c>
      <c r="AH30" s="47"/>
      <c r="AI30" s="47"/>
      <c r="AJ30" s="47"/>
      <c r="AK30" s="47"/>
      <c r="AL30" s="40"/>
    </row>
    <row r="31" spans="1:38" s="4" customFormat="1" ht="15" customHeight="1" x14ac:dyDescent="0.2">
      <c r="A31" s="47"/>
      <c r="B31"/>
      <c r="C31" s="29" t="s">
        <v>153</v>
      </c>
      <c r="D31" s="30"/>
      <c r="E31" s="31"/>
      <c r="F31" s="104">
        <v>45495</v>
      </c>
      <c r="G31" s="100"/>
      <c r="H31" s="73" t="s">
        <v>24</v>
      </c>
      <c r="I31"/>
      <c r="J31" s="76"/>
      <c r="K31" s="29" t="s">
        <v>134</v>
      </c>
      <c r="L31" s="82"/>
      <c r="M31" s="99">
        <v>45528</v>
      </c>
      <c r="N31" s="100"/>
      <c r="O31" s="73" t="s">
        <v>24</v>
      </c>
      <c r="P31" s="76"/>
      <c r="Q31" s="17"/>
      <c r="R31" s="17"/>
      <c r="S31" s="43"/>
      <c r="T31"/>
      <c r="U31" s="127"/>
      <c r="V31" s="38"/>
      <c r="W31" s="118"/>
      <c r="X31" s="119"/>
      <c r="Y31" s="119"/>
      <c r="Z31" s="119"/>
      <c r="AA31" s="120"/>
      <c r="AB31" s="70"/>
      <c r="AC31"/>
      <c r="AD31" s="40"/>
      <c r="AE31" s="127"/>
      <c r="AF31" s="47"/>
      <c r="AG31" s="118"/>
      <c r="AH31" s="119"/>
      <c r="AI31" s="119"/>
      <c r="AJ31" s="119"/>
      <c r="AK31" s="120"/>
      <c r="AL31" s="40"/>
    </row>
    <row r="32" spans="1:38" s="4" customFormat="1" ht="15" customHeight="1" x14ac:dyDescent="0.2">
      <c r="A32" s="47"/>
      <c r="B32"/>
      <c r="C32" s="32" t="s">
        <v>154</v>
      </c>
      <c r="D32" s="33"/>
      <c r="E32" s="34"/>
      <c r="F32" s="103">
        <v>45497</v>
      </c>
      <c r="G32" s="98"/>
      <c r="H32" s="73" t="s">
        <v>24</v>
      </c>
      <c r="I32"/>
      <c r="J32" s="17"/>
      <c r="K32" s="32" t="s">
        <v>29</v>
      </c>
      <c r="L32" s="83"/>
      <c r="M32" s="97">
        <v>45529</v>
      </c>
      <c r="N32" s="98"/>
      <c r="O32" s="73" t="s">
        <v>24</v>
      </c>
      <c r="P32" s="17"/>
      <c r="Q32" s="17"/>
      <c r="R32" s="17"/>
      <c r="S32" s="43"/>
      <c r="T32"/>
      <c r="U32" s="128"/>
      <c r="V32" s="38"/>
      <c r="W32" s="121"/>
      <c r="X32" s="122"/>
      <c r="Y32" s="122"/>
      <c r="Z32" s="122"/>
      <c r="AA32" s="123"/>
      <c r="AB32" s="70"/>
      <c r="AC32"/>
      <c r="AD32" s="40"/>
      <c r="AE32" s="128"/>
      <c r="AF32" s="47"/>
      <c r="AG32" s="121"/>
      <c r="AH32" s="122"/>
      <c r="AI32" s="122"/>
      <c r="AJ32" s="122"/>
      <c r="AK32" s="123"/>
      <c r="AL32" s="40"/>
    </row>
    <row r="33" spans="1:38" s="4" customFormat="1" ht="15" customHeight="1" x14ac:dyDescent="0.2">
      <c r="A33" s="47"/>
      <c r="B33"/>
      <c r="C33" s="29" t="s">
        <v>155</v>
      </c>
      <c r="D33" s="30"/>
      <c r="E33" s="31"/>
      <c r="F33" s="104">
        <v>45498</v>
      </c>
      <c r="G33" s="100"/>
      <c r="H33" s="73" t="s">
        <v>24</v>
      </c>
      <c r="I33"/>
      <c r="J33" s="76"/>
      <c r="K33" s="29" t="s">
        <v>135</v>
      </c>
      <c r="L33" s="82"/>
      <c r="M33" s="99">
        <v>45530</v>
      </c>
      <c r="N33" s="100"/>
      <c r="O33" s="73" t="s">
        <v>24</v>
      </c>
      <c r="P33" s="76"/>
      <c r="Q33" s="17"/>
      <c r="R33" s="17"/>
      <c r="S33" s="43"/>
      <c r="T33"/>
      <c r="U33" s="128"/>
      <c r="V33" s="38"/>
      <c r="W33" s="121"/>
      <c r="X33" s="122"/>
      <c r="Y33" s="122"/>
      <c r="Z33" s="122"/>
      <c r="AA33" s="123"/>
      <c r="AB33" s="70"/>
      <c r="AC33"/>
      <c r="AD33" s="40"/>
      <c r="AE33" s="128"/>
      <c r="AF33" s="47"/>
      <c r="AG33" s="121"/>
      <c r="AH33" s="122"/>
      <c r="AI33" s="122"/>
      <c r="AJ33" s="122"/>
      <c r="AK33" s="123"/>
      <c r="AL33" s="40"/>
    </row>
    <row r="34" spans="1:38" s="4" customFormat="1" ht="15" customHeight="1" x14ac:dyDescent="0.2">
      <c r="A34" s="47"/>
      <c r="B34"/>
      <c r="C34" s="32" t="s">
        <v>156</v>
      </c>
      <c r="D34" s="33"/>
      <c r="E34" s="34"/>
      <c r="F34" s="103">
        <v>45499</v>
      </c>
      <c r="G34" s="98"/>
      <c r="H34" s="73" t="s">
        <v>24</v>
      </c>
      <c r="I34"/>
      <c r="J34" s="17"/>
      <c r="K34" s="32" t="s">
        <v>136</v>
      </c>
      <c r="L34" s="83"/>
      <c r="M34" s="97">
        <v>45531</v>
      </c>
      <c r="N34" s="98"/>
      <c r="O34" s="73" t="s">
        <v>24</v>
      </c>
      <c r="P34" s="17"/>
      <c r="Q34" s="17"/>
      <c r="R34" s="17"/>
      <c r="S34" s="43"/>
      <c r="T34"/>
      <c r="U34" s="128"/>
      <c r="V34" s="38"/>
      <c r="W34" s="121"/>
      <c r="X34" s="122"/>
      <c r="Y34" s="122"/>
      <c r="Z34" s="122"/>
      <c r="AA34" s="123"/>
      <c r="AB34" s="70"/>
      <c r="AC34"/>
      <c r="AD34" s="40"/>
      <c r="AE34" s="128"/>
      <c r="AF34" s="47"/>
      <c r="AG34" s="121"/>
      <c r="AH34" s="122"/>
      <c r="AI34" s="122"/>
      <c r="AJ34" s="122"/>
      <c r="AK34" s="123"/>
      <c r="AL34" s="40"/>
    </row>
    <row r="35" spans="1:38" ht="15" customHeight="1" x14ac:dyDescent="0.2">
      <c r="C35" s="29" t="s">
        <v>30</v>
      </c>
      <c r="D35" s="30"/>
      <c r="E35" s="31"/>
      <c r="F35" s="104">
        <v>45500</v>
      </c>
      <c r="G35" s="100"/>
      <c r="H35" s="73" t="s">
        <v>24</v>
      </c>
      <c r="J35" s="76"/>
      <c r="K35" s="29" t="s">
        <v>137</v>
      </c>
      <c r="L35" s="82"/>
      <c r="M35" s="99">
        <v>45532</v>
      </c>
      <c r="N35" s="100"/>
      <c r="O35" s="73" t="s">
        <v>24</v>
      </c>
      <c r="P35" s="76"/>
      <c r="Q35" s="17"/>
      <c r="R35" s="17"/>
      <c r="U35" s="128"/>
      <c r="V35" s="38"/>
      <c r="W35" s="121"/>
      <c r="X35" s="122"/>
      <c r="Y35" s="122"/>
      <c r="Z35" s="122"/>
      <c r="AA35" s="123"/>
      <c r="AB35" s="70"/>
      <c r="AD35" s="40"/>
      <c r="AE35" s="128"/>
      <c r="AF35" s="47"/>
      <c r="AG35" s="121"/>
      <c r="AH35" s="122"/>
      <c r="AI35" s="122"/>
      <c r="AJ35" s="122"/>
      <c r="AK35" s="123"/>
      <c r="AL35" s="40"/>
    </row>
    <row r="36" spans="1:38" ht="14.25" customHeight="1" x14ac:dyDescent="0.2">
      <c r="C36" s="29" t="s">
        <v>31</v>
      </c>
      <c r="D36" s="30"/>
      <c r="E36" s="31"/>
      <c r="F36" s="104">
        <v>45501</v>
      </c>
      <c r="G36" s="100"/>
      <c r="H36" s="73" t="s">
        <v>24</v>
      </c>
      <c r="K36" s="32" t="s">
        <v>138</v>
      </c>
      <c r="L36" s="83"/>
      <c r="M36" s="97">
        <v>45533</v>
      </c>
      <c r="N36" s="98"/>
      <c r="O36" s="73" t="s">
        <v>24</v>
      </c>
      <c r="P36" s="17"/>
      <c r="Q36" s="17"/>
      <c r="R36" s="17"/>
      <c r="U36" s="128"/>
      <c r="V36" s="38"/>
      <c r="W36" s="121"/>
      <c r="X36" s="122"/>
      <c r="Y36" s="122"/>
      <c r="Z36" s="122"/>
      <c r="AA36" s="123"/>
      <c r="AB36" s="70"/>
      <c r="AD36" s="40"/>
      <c r="AE36" s="128"/>
      <c r="AF36" s="47"/>
      <c r="AG36" s="121"/>
      <c r="AH36" s="122"/>
      <c r="AI36" s="122"/>
      <c r="AJ36" s="122"/>
      <c r="AK36" s="123"/>
      <c r="AL36" s="40"/>
    </row>
    <row r="37" spans="1:38" ht="14.25" customHeight="1" x14ac:dyDescent="0.2">
      <c r="C37" s="29" t="s">
        <v>157</v>
      </c>
      <c r="D37" s="30"/>
      <c r="E37" s="31"/>
      <c r="F37" s="104">
        <v>45501</v>
      </c>
      <c r="G37" s="100"/>
      <c r="H37" s="73" t="s">
        <v>24</v>
      </c>
      <c r="K37" s="32" t="s">
        <v>139</v>
      </c>
      <c r="L37" s="83"/>
      <c r="M37" s="97">
        <v>45535</v>
      </c>
      <c r="N37" s="98"/>
      <c r="O37" s="73" t="s">
        <v>24</v>
      </c>
      <c r="U37" s="129"/>
      <c r="V37" s="38"/>
      <c r="W37" s="124"/>
      <c r="X37" s="125"/>
      <c r="Y37" s="125"/>
      <c r="Z37" s="125"/>
      <c r="AA37" s="126"/>
      <c r="AB37" s="70"/>
      <c r="AD37" s="40"/>
      <c r="AE37" s="129"/>
      <c r="AF37" s="47"/>
      <c r="AG37" s="124"/>
      <c r="AH37" s="125"/>
      <c r="AI37" s="125"/>
      <c r="AJ37" s="125"/>
      <c r="AK37" s="126"/>
      <c r="AL37" s="40"/>
    </row>
    <row r="38" spans="1:38" x14ac:dyDescent="0.2">
      <c r="U38" s="4"/>
      <c r="V38" s="4"/>
      <c r="W38" s="4"/>
      <c r="X38" s="4"/>
      <c r="Y38" s="4"/>
      <c r="Z38" s="4"/>
      <c r="AA38" s="4"/>
      <c r="AB38" s="40"/>
      <c r="AD38" s="40"/>
      <c r="AE38" s="4"/>
      <c r="AF38" s="4"/>
      <c r="AG38" s="4"/>
      <c r="AH38" s="4"/>
      <c r="AI38" s="4"/>
      <c r="AJ38" s="4"/>
      <c r="AK38" s="4"/>
      <c r="AL38" s="40"/>
    </row>
    <row r="39" spans="1:38" x14ac:dyDescent="0.2">
      <c r="U39" s="57" t="s">
        <v>27</v>
      </c>
      <c r="V39" s="57"/>
      <c r="W39" s="57"/>
      <c r="X39" s="57"/>
      <c r="Y39" s="57"/>
      <c r="Z39" s="57"/>
      <c r="AA39" s="57"/>
      <c r="AB39" s="40"/>
      <c r="AD39" s="40"/>
      <c r="AE39" s="61" t="s">
        <v>27</v>
      </c>
      <c r="AF39" s="61"/>
      <c r="AG39" s="61"/>
      <c r="AH39" s="61"/>
      <c r="AI39" s="61"/>
      <c r="AJ39" s="61"/>
      <c r="AK39" s="61"/>
      <c r="AL39" s="40"/>
    </row>
    <row r="40" spans="1:38" ht="12" x14ac:dyDescent="0.2">
      <c r="U40" s="58" t="s">
        <v>13</v>
      </c>
      <c r="V40" s="47"/>
      <c r="W40" s="47" t="s">
        <v>14</v>
      </c>
      <c r="X40" s="47"/>
      <c r="Y40" s="47"/>
      <c r="Z40" s="47"/>
      <c r="AA40" s="47"/>
      <c r="AB40" s="40"/>
      <c r="AD40" s="40"/>
      <c r="AE40" s="55" t="s">
        <v>13</v>
      </c>
      <c r="AF40" s="38"/>
      <c r="AG40" s="38" t="s">
        <v>14</v>
      </c>
      <c r="AH40" s="38"/>
      <c r="AI40" s="38"/>
      <c r="AJ40" s="38"/>
      <c r="AK40" s="38"/>
      <c r="AL40" s="40"/>
    </row>
    <row r="41" spans="1:38" x14ac:dyDescent="0.2">
      <c r="U41" s="115"/>
      <c r="V41" s="47"/>
      <c r="W41" s="118"/>
      <c r="X41" s="119"/>
      <c r="Y41" s="119"/>
      <c r="Z41" s="119"/>
      <c r="AA41" s="120"/>
      <c r="AB41" s="70"/>
      <c r="AD41" s="40"/>
      <c r="AE41" s="115"/>
      <c r="AF41" s="38"/>
      <c r="AG41" s="118"/>
      <c r="AH41" s="119"/>
      <c r="AI41" s="119"/>
      <c r="AJ41" s="119"/>
      <c r="AK41" s="120"/>
      <c r="AL41" s="40"/>
    </row>
    <row r="42" spans="1:38" x14ac:dyDescent="0.2">
      <c r="U42" s="116"/>
      <c r="V42" s="47"/>
      <c r="W42" s="121"/>
      <c r="X42" s="122"/>
      <c r="Y42" s="122"/>
      <c r="Z42" s="122"/>
      <c r="AA42" s="123"/>
      <c r="AB42" s="70"/>
      <c r="AD42" s="40"/>
      <c r="AE42" s="116"/>
      <c r="AF42" s="38"/>
      <c r="AG42" s="121"/>
      <c r="AH42" s="122"/>
      <c r="AI42" s="122"/>
      <c r="AJ42" s="122"/>
      <c r="AK42" s="123"/>
      <c r="AL42" s="40"/>
    </row>
    <row r="43" spans="1:38" x14ac:dyDescent="0.2">
      <c r="U43" s="116"/>
      <c r="V43" s="47"/>
      <c r="W43" s="121"/>
      <c r="X43" s="122"/>
      <c r="Y43" s="122"/>
      <c r="Z43" s="122"/>
      <c r="AA43" s="123"/>
      <c r="AB43" s="70"/>
      <c r="AD43" s="40"/>
      <c r="AE43" s="116"/>
      <c r="AF43" s="38"/>
      <c r="AG43" s="121"/>
      <c r="AH43" s="122"/>
      <c r="AI43" s="122"/>
      <c r="AJ43" s="122"/>
      <c r="AK43" s="123"/>
      <c r="AL43" s="40"/>
    </row>
    <row r="44" spans="1:38" x14ac:dyDescent="0.2">
      <c r="U44" s="116"/>
      <c r="V44" s="47"/>
      <c r="W44" s="121"/>
      <c r="X44" s="122"/>
      <c r="Y44" s="122"/>
      <c r="Z44" s="122"/>
      <c r="AA44" s="123"/>
      <c r="AB44" s="70"/>
      <c r="AD44" s="40"/>
      <c r="AE44" s="116"/>
      <c r="AF44" s="38"/>
      <c r="AG44" s="121"/>
      <c r="AH44" s="122"/>
      <c r="AI44" s="122"/>
      <c r="AJ44" s="122"/>
      <c r="AK44" s="123"/>
      <c r="AL44" s="40"/>
    </row>
    <row r="45" spans="1:38" x14ac:dyDescent="0.2">
      <c r="U45" s="117"/>
      <c r="V45" s="47"/>
      <c r="W45" s="124"/>
      <c r="X45" s="125"/>
      <c r="Y45" s="125"/>
      <c r="Z45" s="125"/>
      <c r="AA45" s="126"/>
      <c r="AB45" s="70"/>
      <c r="AD45" s="40"/>
      <c r="AE45" s="117"/>
      <c r="AF45" s="38"/>
      <c r="AG45" s="124"/>
      <c r="AH45" s="125"/>
      <c r="AI45" s="125"/>
      <c r="AJ45" s="125"/>
      <c r="AK45" s="126"/>
      <c r="AL45" s="40"/>
    </row>
    <row r="46" spans="1:38" x14ac:dyDescent="0.2">
      <c r="U46" s="59"/>
      <c r="V46" s="47"/>
      <c r="W46" s="47"/>
      <c r="X46" s="47"/>
      <c r="Y46" s="47"/>
      <c r="Z46" s="47"/>
      <c r="AA46" s="47"/>
      <c r="AB46" s="40"/>
      <c r="AD46" s="40"/>
      <c r="AE46" s="56"/>
      <c r="AF46" s="38"/>
      <c r="AG46" s="38"/>
      <c r="AH46" s="38"/>
      <c r="AI46" s="38"/>
      <c r="AJ46" s="38"/>
      <c r="AK46" s="38"/>
      <c r="AL46" s="40"/>
    </row>
    <row r="47" spans="1:38" x14ac:dyDescent="0.2">
      <c r="U47" s="47" t="s">
        <v>17</v>
      </c>
      <c r="V47" s="47"/>
      <c r="W47" s="47" t="s">
        <v>18</v>
      </c>
      <c r="X47" s="47"/>
      <c r="Y47" s="47"/>
      <c r="Z47" s="47"/>
      <c r="AA47" s="47"/>
      <c r="AB47" s="40"/>
      <c r="AD47" s="40"/>
      <c r="AE47" s="38" t="s">
        <v>17</v>
      </c>
      <c r="AF47" s="38"/>
      <c r="AG47" s="38" t="s">
        <v>18</v>
      </c>
      <c r="AH47" s="38"/>
      <c r="AI47" s="38"/>
      <c r="AJ47" s="38"/>
      <c r="AK47" s="38"/>
      <c r="AL47" s="40"/>
    </row>
    <row r="48" spans="1:38" x14ac:dyDescent="0.2">
      <c r="U48" s="127"/>
      <c r="V48" s="47"/>
      <c r="W48" s="118"/>
      <c r="X48" s="119"/>
      <c r="Y48" s="119"/>
      <c r="Z48" s="119"/>
      <c r="AA48" s="120"/>
      <c r="AB48" s="70"/>
      <c r="AD48" s="40"/>
      <c r="AE48" s="127"/>
      <c r="AF48" s="38"/>
      <c r="AG48" s="118"/>
      <c r="AH48" s="119"/>
      <c r="AI48" s="119"/>
      <c r="AJ48" s="119"/>
      <c r="AK48" s="120"/>
      <c r="AL48" s="40"/>
    </row>
    <row r="49" spans="21:38" x14ac:dyDescent="0.2">
      <c r="U49" s="128"/>
      <c r="V49" s="47"/>
      <c r="W49" s="121"/>
      <c r="X49" s="122"/>
      <c r="Y49" s="122"/>
      <c r="Z49" s="122"/>
      <c r="AA49" s="123"/>
      <c r="AB49" s="70"/>
      <c r="AD49" s="40"/>
      <c r="AE49" s="128"/>
      <c r="AF49" s="38"/>
      <c r="AG49" s="121"/>
      <c r="AH49" s="122"/>
      <c r="AI49" s="122"/>
      <c r="AJ49" s="122"/>
      <c r="AK49" s="123"/>
      <c r="AL49" s="40"/>
    </row>
    <row r="50" spans="21:38" x14ac:dyDescent="0.2">
      <c r="U50" s="128"/>
      <c r="V50" s="47"/>
      <c r="W50" s="121"/>
      <c r="X50" s="122"/>
      <c r="Y50" s="122"/>
      <c r="Z50" s="122"/>
      <c r="AA50" s="123"/>
      <c r="AB50" s="70"/>
      <c r="AD50" s="40"/>
      <c r="AE50" s="128"/>
      <c r="AF50" s="38"/>
      <c r="AG50" s="121"/>
      <c r="AH50" s="122"/>
      <c r="AI50" s="122"/>
      <c r="AJ50" s="122"/>
      <c r="AK50" s="123"/>
      <c r="AL50" s="40"/>
    </row>
    <row r="51" spans="21:38" x14ac:dyDescent="0.2">
      <c r="U51" s="128"/>
      <c r="V51" s="47"/>
      <c r="W51" s="121"/>
      <c r="X51" s="122"/>
      <c r="Y51" s="122"/>
      <c r="Z51" s="122"/>
      <c r="AA51" s="123"/>
      <c r="AB51" s="70"/>
      <c r="AD51" s="40"/>
      <c r="AE51" s="128"/>
      <c r="AF51" s="38"/>
      <c r="AG51" s="121"/>
      <c r="AH51" s="122"/>
      <c r="AI51" s="122"/>
      <c r="AJ51" s="122"/>
      <c r="AK51" s="123"/>
      <c r="AL51" s="40"/>
    </row>
    <row r="52" spans="21:38" x14ac:dyDescent="0.2">
      <c r="U52" s="128"/>
      <c r="V52" s="47"/>
      <c r="W52" s="121"/>
      <c r="X52" s="122"/>
      <c r="Y52" s="122"/>
      <c r="Z52" s="122"/>
      <c r="AA52" s="123"/>
      <c r="AB52" s="70"/>
      <c r="AD52" s="40"/>
      <c r="AE52" s="128"/>
      <c r="AF52" s="38"/>
      <c r="AG52" s="121"/>
      <c r="AH52" s="122"/>
      <c r="AI52" s="122"/>
      <c r="AJ52" s="122"/>
      <c r="AK52" s="123"/>
      <c r="AL52" s="40"/>
    </row>
    <row r="53" spans="21:38" x14ac:dyDescent="0.2">
      <c r="U53" s="128"/>
      <c r="V53" s="47"/>
      <c r="W53" s="121"/>
      <c r="X53" s="122"/>
      <c r="Y53" s="122"/>
      <c r="Z53" s="122"/>
      <c r="AA53" s="123"/>
      <c r="AB53" s="70"/>
      <c r="AD53" s="40"/>
      <c r="AE53" s="128"/>
      <c r="AF53" s="38"/>
      <c r="AG53" s="121"/>
      <c r="AH53" s="122"/>
      <c r="AI53" s="122"/>
      <c r="AJ53" s="122"/>
      <c r="AK53" s="123"/>
      <c r="AL53" s="40"/>
    </row>
    <row r="54" spans="21:38" x14ac:dyDescent="0.2">
      <c r="U54" s="129"/>
      <c r="V54" s="47"/>
      <c r="W54" s="124"/>
      <c r="X54" s="125"/>
      <c r="Y54" s="125"/>
      <c r="Z54" s="125"/>
      <c r="AA54" s="126"/>
      <c r="AB54" s="70"/>
      <c r="AD54" s="40"/>
      <c r="AE54" s="129"/>
      <c r="AF54" s="38"/>
      <c r="AG54" s="124"/>
      <c r="AH54" s="125"/>
      <c r="AI54" s="125"/>
      <c r="AJ54" s="125"/>
      <c r="AK54" s="126"/>
      <c r="AL54" s="40"/>
    </row>
    <row r="55" spans="21:38" x14ac:dyDescent="0.2">
      <c r="U55" s="47"/>
      <c r="V55" s="47"/>
      <c r="W55" s="47"/>
      <c r="X55" s="47"/>
      <c r="Y55" s="47"/>
      <c r="Z55" s="47"/>
      <c r="AA55" s="47"/>
      <c r="AB55" s="40"/>
      <c r="AD55" s="40"/>
      <c r="AE55" s="38"/>
      <c r="AF55" s="38"/>
      <c r="AG55" s="38"/>
      <c r="AH55" s="38"/>
      <c r="AI55" s="38"/>
      <c r="AJ55" s="38"/>
      <c r="AK55" s="38"/>
      <c r="AL55" s="40"/>
    </row>
  </sheetData>
  <mergeCells count="31">
    <mergeCell ref="AG14:AK20"/>
    <mergeCell ref="B1:R1"/>
    <mergeCell ref="T1:AN1"/>
    <mergeCell ref="B2:J2"/>
    <mergeCell ref="C4:I4"/>
    <mergeCell ref="K4:Q4"/>
    <mergeCell ref="U7:U11"/>
    <mergeCell ref="W7:AA11"/>
    <mergeCell ref="AE7:AE11"/>
    <mergeCell ref="AG7:AK11"/>
    <mergeCell ref="C13:I13"/>
    <mergeCell ref="K13:Q13"/>
    <mergeCell ref="U14:U20"/>
    <mergeCell ref="W14:AA20"/>
    <mergeCell ref="AE14:AE20"/>
    <mergeCell ref="U24:U28"/>
    <mergeCell ref="W24:AA28"/>
    <mergeCell ref="AE24:AE28"/>
    <mergeCell ref="AG24:AK28"/>
    <mergeCell ref="U31:U37"/>
    <mergeCell ref="W31:AA37"/>
    <mergeCell ref="AE31:AE37"/>
    <mergeCell ref="AG31:AK37"/>
    <mergeCell ref="U41:U45"/>
    <mergeCell ref="W41:AA45"/>
    <mergeCell ref="AE41:AE45"/>
    <mergeCell ref="AG41:AK45"/>
    <mergeCell ref="U48:U54"/>
    <mergeCell ref="W48:AA54"/>
    <mergeCell ref="AE48:AE54"/>
    <mergeCell ref="AG48:AK54"/>
  </mergeCells>
  <dataValidations count="1">
    <dataValidation allowBlank="1" showInputMessage="1" showErrorMessage="1" errorTitle="Ano Inválido" error="Insira um ano de 1900 a 9999 ou use a barra de rolagem para encontrar um ano." sqref="B1"/>
  </dataValidations>
  <hyperlinks>
    <hyperlink ref="AE3" r:id="rId1"/>
  </hyperlinks>
  <printOptions horizontalCentered="1" verticalCentered="1"/>
  <pageMargins left="0.5" right="0.5" top="0.5" bottom="0.5" header="0.3" footer="0.3"/>
  <pageSetup paperSize="9" scale="72" orientation="portrait" verticalDpi="4294967295" r:id="rId2"/>
  <headerFooter>
    <oddHeader>&amp;L&amp;"Calibri"&amp;12&amp;K0000FF Uso Interno&amp;1#_x000D_</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ontrole Giratório">
              <controlPr defaultSize="0" print="0" autoPict="0" altText="Use os botões de controle giratório para alterar o ano do calendário ou inserir o ano na célula C1">
                <anchor moveWithCells="1">
                  <from>
                    <xdr:col>1</xdr:col>
                    <xdr:colOff>114300</xdr:colOff>
                    <xdr:row>0</xdr:row>
                    <xdr:rowOff>38100</xdr:rowOff>
                  </from>
                  <to>
                    <xdr:col>1</xdr:col>
                    <xdr:colOff>266700</xdr:colOff>
                    <xdr:row>0</xdr:row>
                    <xdr:rowOff>342900</xdr:rowOff>
                  </to>
                </anchor>
              </controlPr>
            </control>
          </mc:Choice>
        </mc:AlternateContent>
      </controls>
    </mc:Choice>
  </mc:AlternateContent>
  <tableParts count="2">
    <tablePart r:id="rId6"/>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73"/>
  <sheetViews>
    <sheetView showGridLines="0" zoomScaleNormal="100" workbookViewId="0">
      <pane xSplit="1" topLeftCell="B1" activePane="topRight" state="frozen"/>
      <selection activeCell="B1" sqref="B1:R1"/>
      <selection pane="topRight" activeCell="Q5" sqref="Q5"/>
    </sheetView>
  </sheetViews>
  <sheetFormatPr defaultColWidth="9.5" defaultRowHeight="11.25" x14ac:dyDescent="0.2"/>
  <cols>
    <col min="1" max="1" width="1.33203125" style="47" customWidth="1"/>
    <col min="2" max="2" width="5.1640625" customWidth="1"/>
    <col min="3" max="3" width="6.83203125" customWidth="1"/>
    <col min="4" max="4" width="7.6640625" customWidth="1"/>
    <col min="5" max="5" width="6.5" customWidth="1"/>
    <col min="6" max="6" width="7.33203125" customWidth="1"/>
    <col min="7" max="7" width="11.6640625" customWidth="1"/>
    <col min="8" max="8" width="6" customWidth="1"/>
    <col min="9" max="9" width="6.5" customWidth="1"/>
    <col min="10" max="10" width="5" customWidth="1"/>
    <col min="11" max="14" width="6.5" customWidth="1"/>
    <col min="15" max="15" width="11.83203125" customWidth="1"/>
    <col min="16" max="16" width="6.5" customWidth="1"/>
    <col min="17" max="18" width="7.33203125" customWidth="1"/>
    <col min="19" max="19" width="1.1640625" style="43" customWidth="1"/>
    <col min="20" max="20" width="2.1640625" customWidth="1"/>
    <col min="21" max="21" width="54.33203125" customWidth="1"/>
    <col min="22" max="22" width="2.33203125" customWidth="1"/>
    <col min="23" max="23" width="12" customWidth="1"/>
    <col min="24" max="24" width="2.83203125" customWidth="1"/>
    <col min="25" max="26" width="9.33203125" customWidth="1"/>
    <col min="27" max="27" width="18.1640625" customWidth="1"/>
    <col min="28" max="28" width="1.1640625" style="17" customWidth="1"/>
    <col min="29" max="29" width="4.5" customWidth="1"/>
    <col min="30" max="30" width="2.33203125" style="17" customWidth="1"/>
    <col min="31" max="31" width="41.5" customWidth="1"/>
    <col min="32" max="32" width="8.1640625" customWidth="1"/>
    <col min="33" max="33" width="7.6640625" customWidth="1"/>
    <col min="34" max="34" width="17.33203125" customWidth="1"/>
    <col min="35" max="37" width="9.33203125" customWidth="1"/>
    <col min="38" max="38" width="9.33203125" style="17" customWidth="1"/>
    <col min="39" max="43" width="9.33203125" customWidth="1"/>
    <col min="44" max="44" width="9.5" customWidth="1"/>
  </cols>
  <sheetData>
    <row r="1" spans="1:40" s="110" customFormat="1" ht="72.75" customHeight="1" x14ac:dyDescent="0.2">
      <c r="A1" s="109"/>
      <c r="B1" s="155">
        <v>2024</v>
      </c>
      <c r="C1" s="155"/>
      <c r="D1" s="155"/>
      <c r="E1" s="155"/>
      <c r="F1" s="155"/>
      <c r="G1" s="155"/>
      <c r="H1" s="155"/>
      <c r="I1" s="155"/>
      <c r="J1" s="155"/>
      <c r="K1" s="155"/>
      <c r="L1" s="155"/>
      <c r="M1" s="155"/>
      <c r="N1" s="155"/>
      <c r="O1" s="155"/>
      <c r="P1" s="155"/>
      <c r="Q1" s="155"/>
      <c r="R1" s="155"/>
      <c r="T1" s="156" t="s">
        <v>0</v>
      </c>
      <c r="U1" s="157"/>
      <c r="V1" s="157"/>
      <c r="W1" s="157"/>
      <c r="X1" s="157"/>
      <c r="Y1" s="157"/>
      <c r="Z1" s="157"/>
      <c r="AA1" s="157"/>
      <c r="AB1" s="157"/>
      <c r="AC1" s="157"/>
      <c r="AD1" s="157"/>
      <c r="AE1" s="157"/>
      <c r="AF1" s="157"/>
      <c r="AG1" s="157"/>
      <c r="AH1" s="157"/>
      <c r="AI1" s="157"/>
      <c r="AJ1" s="157"/>
      <c r="AK1" s="157"/>
      <c r="AL1" s="157"/>
      <c r="AM1" s="157"/>
      <c r="AN1" s="157"/>
    </row>
    <row r="2" spans="1:40" ht="15" customHeight="1" x14ac:dyDescent="0.2">
      <c r="A2" s="46"/>
      <c r="B2" s="139" t="s">
        <v>1</v>
      </c>
      <c r="C2" s="139"/>
      <c r="D2" s="139"/>
      <c r="E2" s="139"/>
      <c r="F2" s="139"/>
      <c r="G2" s="139"/>
      <c r="H2" s="139"/>
      <c r="I2" s="139"/>
      <c r="J2" s="139"/>
      <c r="U2" s="62"/>
    </row>
    <row r="3" spans="1:40" ht="15" customHeight="1" x14ac:dyDescent="0.25">
      <c r="C3" s="5"/>
      <c r="D3" s="5"/>
      <c r="E3" s="5"/>
      <c r="F3" s="5"/>
      <c r="G3" s="5"/>
      <c r="H3" s="5"/>
      <c r="I3" s="5"/>
      <c r="J3" s="5"/>
      <c r="K3" s="5"/>
      <c r="L3" s="5"/>
      <c r="M3" s="5"/>
      <c r="N3" s="5"/>
      <c r="O3" s="5"/>
      <c r="P3" s="5"/>
      <c r="Q3" s="5"/>
      <c r="T3" s="20"/>
      <c r="U3" s="63" t="s">
        <v>32</v>
      </c>
      <c r="V3" s="5"/>
      <c r="W3" s="5"/>
      <c r="Y3" s="106" t="s">
        <v>159</v>
      </c>
      <c r="AE3" s="105" t="s">
        <v>160</v>
      </c>
    </row>
    <row r="4" spans="1:40" ht="15" customHeight="1" x14ac:dyDescent="0.25">
      <c r="A4" s="46"/>
      <c r="C4" s="158" t="s">
        <v>33</v>
      </c>
      <c r="D4" s="158"/>
      <c r="E4" s="158"/>
      <c r="F4" s="158"/>
      <c r="G4" s="158"/>
      <c r="H4" s="158"/>
      <c r="I4" s="158"/>
      <c r="J4" s="10"/>
      <c r="K4" s="158" t="s">
        <v>34</v>
      </c>
      <c r="L4" s="158"/>
      <c r="M4" s="158"/>
      <c r="N4" s="158"/>
      <c r="O4" s="158"/>
      <c r="P4" s="158"/>
      <c r="Q4" s="158"/>
      <c r="T4" s="20"/>
      <c r="U4" s="64" t="s">
        <v>35</v>
      </c>
      <c r="V4" s="5"/>
      <c r="W4" s="5"/>
    </row>
    <row r="5" spans="1:40" ht="15" customHeight="1" x14ac:dyDescent="0.2">
      <c r="A5" s="46"/>
      <c r="C5" s="3" t="s">
        <v>6</v>
      </c>
      <c r="D5" s="3" t="s">
        <v>7</v>
      </c>
      <c r="E5" s="3" t="s">
        <v>8</v>
      </c>
      <c r="F5" s="3" t="s">
        <v>9</v>
      </c>
      <c r="G5" s="3" t="s">
        <v>10</v>
      </c>
      <c r="H5" s="3" t="s">
        <v>11</v>
      </c>
      <c r="I5" s="3" t="s">
        <v>12</v>
      </c>
      <c r="J5" s="5"/>
      <c r="K5" s="3" t="s">
        <v>6</v>
      </c>
      <c r="L5" s="3" t="s">
        <v>7</v>
      </c>
      <c r="M5" s="3" t="s">
        <v>8</v>
      </c>
      <c r="N5" s="3" t="s">
        <v>9</v>
      </c>
      <c r="O5" s="3" t="s">
        <v>10</v>
      </c>
      <c r="P5" s="3" t="s">
        <v>11</v>
      </c>
      <c r="Q5" s="3" t="s">
        <v>12</v>
      </c>
      <c r="U5" s="2"/>
      <c r="V5" s="5"/>
      <c r="W5" s="5"/>
    </row>
    <row r="6" spans="1:40" ht="15" customHeight="1" x14ac:dyDescent="0.2">
      <c r="C6" s="7">
        <f>IF(DAY(SetDom1)=1,"",IF(AND(YEAR(SetDom1+1)=AnoDoCalendário,MONTH(SetDom1+1)=9),SetDom1+1,""))</f>
        <v>45536</v>
      </c>
      <c r="D6" s="7">
        <f>IF(DAY(SetDom1)=1,"",IF(AND(YEAR(SetDom1+2)=AnoDoCalendário,MONTH(SetDom1+2)=9),SetDom1+2,""))</f>
        <v>45537</v>
      </c>
      <c r="E6" s="7">
        <f>IF(DAY(SetDom1)=1,"",IF(AND(YEAR(SetDom1+3)=AnoDoCalendário,MONTH(SetDom1+3)=9),SetDom1+3,""))</f>
        <v>45538</v>
      </c>
      <c r="F6" s="7">
        <f>IF(DAY(SetDom1)=1,"",IF(AND(YEAR(SetDom1+4)=AnoDoCalendário,MONTH(SetDom1+4)=9),SetDom1+4,""))</f>
        <v>45539</v>
      </c>
      <c r="G6" s="7">
        <f>IF(DAY(SetDom1)=1,"",IF(AND(YEAR(SetDom1+5)=AnoDoCalendário,MONTH(SetDom1+5)=9),SetDom1+5,""))</f>
        <v>45540</v>
      </c>
      <c r="H6" s="44">
        <f>IF(DAY(SetDom1)=1,"",IF(AND(YEAR(SetDom1+6)=AnoDoCalendário,MONTH(SetDom1+6)=9),SetDom1+6,""))</f>
        <v>45541</v>
      </c>
      <c r="I6" s="44">
        <f>IF(DAY(SetDom1)=1,IF(AND(YEAR(SetDom1)=AnoDoCalendário,MONTH(SetDom1)=9),SetDom1,""),IF(AND(YEAR(SetDom1+7)=AnoDoCalendário,MONTH(SetDom1+7)=9),SetDom1+7,""))</f>
        <v>45542</v>
      </c>
      <c r="J6" s="5"/>
      <c r="K6" s="44" t="str">
        <f>IF(DAY(OutDom1)=1,"",IF(AND(YEAR(OutDom1+1)=AnoDoCalendário,MONTH(OutDom1+1)=10),OutDom1+1,""))</f>
        <v/>
      </c>
      <c r="L6" s="7" t="str">
        <f>IF(DAY(OutDom1)=1,"",IF(AND(YEAR(OutDom1+2)=AnoDoCalendário,MONTH(OutDom1+2)=10),OutDom1+2,""))</f>
        <v/>
      </c>
      <c r="M6" s="7">
        <f>IF(DAY(OutDom1)=1,"",IF(AND(YEAR(OutDom1+3)=AnoDoCalendário,MONTH(OutDom1+3)=10),OutDom1+3,""))</f>
        <v>45566</v>
      </c>
      <c r="N6" s="44">
        <f>IF(DAY(OutDom1)=1,"",IF(AND(YEAR(OutDom1+4)=AnoDoCalendário,MONTH(OutDom1+4)=10),OutDom1+4,""))</f>
        <v>45567</v>
      </c>
      <c r="O6" s="44">
        <f>IF(DAY(OutDom1)=1,"",IF(AND(YEAR(OutDom1+5)=AnoDoCalendário,MONTH(OutDom1+5)=10),OutDom1+5,""))</f>
        <v>45568</v>
      </c>
      <c r="P6" s="44">
        <f>IF(DAY(OutDom1)=1,"",IF(AND(YEAR(OutDom1+6)=AnoDoCalendário,MONTH(OutDom1+6)=10),OutDom1+6,""))</f>
        <v>45569</v>
      </c>
      <c r="Q6" s="7">
        <f>IF(DAY(OutDom1)=1,IF(AND(YEAR(OutDom1)=AnoDoCalendário,MONTH(OutDom1)=10),OutDom1,""),IF(AND(YEAR(OutDom1+7)=AnoDoCalendário,MONTH(OutDom1+7)=10),OutDom1+7,""))</f>
        <v>45570</v>
      </c>
      <c r="U6" s="11" t="s">
        <v>13</v>
      </c>
      <c r="W6" s="13" t="s">
        <v>14</v>
      </c>
      <c r="X6" s="13"/>
      <c r="Y6" s="13"/>
      <c r="Z6" s="13"/>
      <c r="AA6" s="13"/>
      <c r="AB6" s="66"/>
      <c r="AD6" s="40"/>
      <c r="AE6" s="58" t="s">
        <v>13</v>
      </c>
      <c r="AF6" s="47"/>
      <c r="AG6" s="47" t="s">
        <v>14</v>
      </c>
      <c r="AH6" s="47"/>
      <c r="AI6" s="47"/>
      <c r="AJ6" s="47"/>
      <c r="AK6" s="47"/>
    </row>
    <row r="7" spans="1:40" ht="15" customHeight="1" x14ac:dyDescent="0.2">
      <c r="C7" s="44">
        <f>IF(DAY(SetDom1)=1,IF(AND(YEAR(SetDom1+1)=AnoDoCalendário,MONTH(SetDom1+1)=9),SetDom1+1,""),IF(AND(YEAR(SetDom1+8)=AnoDoCalendário,MONTH(SetDom1+8)=9),SetDom1+8,""))</f>
        <v>45543</v>
      </c>
      <c r="D7" s="44">
        <f>IF(DAY(SetDom1)=1,IF(AND(YEAR(SetDom1+2)=AnoDoCalendário,MONTH(SetDom1+2)=9),SetDom1+2,""),IF(AND(YEAR(SetDom1+9)=AnoDoCalendário,MONTH(SetDom1+9)=9),SetDom1+9,""))</f>
        <v>45544</v>
      </c>
      <c r="E7" s="44">
        <f>IF(DAY(SetDom1)=1,IF(AND(YEAR(SetDom1+3)=AnoDoCalendário,MONTH(SetDom1+3)=9),SetDom1+3,""),IF(AND(YEAR(SetDom1+10)=AnoDoCalendário,MONTH(SetDom1+10)=9),SetDom1+10,""))</f>
        <v>45545</v>
      </c>
      <c r="F7" s="44">
        <f>IF(DAY(SetDom1)=1,IF(AND(YEAR(SetDom1+4)=AnoDoCalendário,MONTH(SetDom1+4)=9),SetDom1+4,""),IF(AND(YEAR(SetDom1+11)=AnoDoCalendário,MONTH(SetDom1+11)=9),SetDom1+11,""))</f>
        <v>45546</v>
      </c>
      <c r="G7" s="7">
        <f>IF(DAY(SetDom1)=1,IF(AND(YEAR(SetDom1+5)=AnoDoCalendário,MONTH(SetDom1+5)=9),SetDom1+5,""),IF(AND(YEAR(SetDom1+12)=AnoDoCalendário,MONTH(SetDom1+12)=9),SetDom1+12,""))</f>
        <v>45547</v>
      </c>
      <c r="H7" s="7">
        <f>IF(DAY(SetDom1)=1,IF(AND(YEAR(SetDom1+6)=AnoDoCalendário,MONTH(SetDom1+6)=9),SetDom1+6,""),IF(AND(YEAR(SetDom1+13)=AnoDoCalendário,MONTH(SetDom1+13)=9),SetDom1+13,""))</f>
        <v>45548</v>
      </c>
      <c r="I7" s="44">
        <f>IF(DAY(SetDom1)=1,IF(AND(YEAR(SetDom1+7)=AnoDoCalendário,MONTH(SetDom1+7)=9),SetDom1+7,""),IF(AND(YEAR(SetDom1+14)=AnoDoCalendário,MONTH(SetDom1+14)=9),SetDom1+14,""))</f>
        <v>45549</v>
      </c>
      <c r="J7" s="5"/>
      <c r="K7" s="7">
        <f>IF(DAY(OutDom1)=1,IF(AND(YEAR(OutDom1+1)=AnoDoCalendário,MONTH(OutDom1+1)=10),OutDom1+1,""),IF(AND(YEAR(OutDom1+8)=AnoDoCalendário,MONTH(OutDom1+8)=10),OutDom1+8,""))</f>
        <v>45571</v>
      </c>
      <c r="L7" s="44">
        <f>IF(DAY(OutDom1)=1,IF(AND(YEAR(OutDom1+2)=AnoDoCalendário,MONTH(OutDom1+2)=10),OutDom1+2,""),IF(AND(YEAR(OutDom1+9)=AnoDoCalendário,MONTH(OutDom1+9)=10),OutDom1+9,""))</f>
        <v>45572</v>
      </c>
      <c r="M7" s="7">
        <f>IF(DAY(OutDom1)=1,IF(AND(YEAR(OutDom1+3)=AnoDoCalendário,MONTH(OutDom1+3)=10),OutDom1+3,""),IF(AND(YEAR(OutDom1+10)=AnoDoCalendário,MONTH(OutDom1+10)=10),OutDom1+10,""))</f>
        <v>45573</v>
      </c>
      <c r="N7" s="44">
        <f>IF(DAY(OutDom1)=1,IF(AND(YEAR(OutDom1+4)=AnoDoCalendário,MONTH(OutDom1+4)=10),OutDom1+4,""),IF(AND(YEAR(OutDom1+11)=AnoDoCalendário,MONTH(OutDom1+11)=10),OutDom1+11,""))</f>
        <v>45574</v>
      </c>
      <c r="O7" s="44">
        <f>IF(DAY(OutDom1)=1,IF(AND(YEAR(OutDom1+5)=AnoDoCalendário,MONTH(OutDom1+5)=10),OutDom1+5,""),IF(AND(YEAR(OutDom1+12)=AnoDoCalendário,MONTH(OutDom1+12)=10),OutDom1+12,""))</f>
        <v>45575</v>
      </c>
      <c r="P7" s="44">
        <f>IF(DAY(OutDom1)=1,IF(AND(YEAR(OutDom1+6)=AnoDoCalendário,MONTH(OutDom1+6)=10),OutDom1+6,""),IF(AND(YEAR(OutDom1+13)=AnoDoCalendário,MONTH(OutDom1+13)=10),OutDom1+13,""))</f>
        <v>45576</v>
      </c>
      <c r="Q7" s="7">
        <f>IF(DAY(OutDom1)=1,IF(AND(YEAR(OutDom1+7)=AnoDoCalendário,MONTH(OutDom1+7)=10),OutDom1+7,""),IF(AND(YEAR(OutDom1+14)=AnoDoCalendário,MONTH(OutDom1+14)=10),OutDom1+14,""))</f>
        <v>45577</v>
      </c>
      <c r="U7" s="141" t="s">
        <v>36</v>
      </c>
      <c r="W7" s="130" t="s">
        <v>37</v>
      </c>
      <c r="X7" s="144"/>
      <c r="Y7" s="144"/>
      <c r="Z7" s="144"/>
      <c r="AA7" s="144"/>
      <c r="AB7" s="67"/>
      <c r="AD7" s="40"/>
      <c r="AE7" s="115"/>
      <c r="AF7" s="47"/>
      <c r="AG7" s="118"/>
      <c r="AH7" s="119"/>
      <c r="AI7" s="119"/>
      <c r="AJ7" s="119"/>
      <c r="AK7" s="120"/>
    </row>
    <row r="8" spans="1:40" ht="15" customHeight="1" x14ac:dyDescent="0.2">
      <c r="C8" s="7">
        <f>IF(DAY(SetDom1)=1,IF(AND(YEAR(SetDom1+8)=AnoDoCalendário,MONTH(SetDom1+8)=9),SetDom1+8,""),IF(AND(YEAR(SetDom1+15)=AnoDoCalendário,MONTH(SetDom1+15)=9),SetDom1+15,""))</f>
        <v>45550</v>
      </c>
      <c r="D8" s="7">
        <f>IF(DAY(SetDom1)=1,IF(AND(YEAR(SetDom1+9)=AnoDoCalendário,MONTH(SetDom1+9)=9),SetDom1+9,""),IF(AND(YEAR(SetDom1+16)=AnoDoCalendário,MONTH(SetDom1+16)=9),SetDom1+16,""))</f>
        <v>45551</v>
      </c>
      <c r="E8" s="44">
        <f>IF(DAY(SetDom1)=1,IF(AND(YEAR(SetDom1+10)=AnoDoCalendário,MONTH(SetDom1+10)=9),SetDom1+10,""),IF(AND(YEAR(SetDom1+17)=AnoDoCalendário,MONTH(SetDom1+17)=9),SetDom1+17,""))</f>
        <v>45552</v>
      </c>
      <c r="F8" s="44">
        <f>IF(DAY(SetDom1)=1,IF(AND(YEAR(SetDom1+11)=AnoDoCalendário,MONTH(SetDom1+11)=9),SetDom1+11,""),IF(AND(YEAR(SetDom1+18)=AnoDoCalendário,MONTH(SetDom1+18)=9),SetDom1+18,""))</f>
        <v>45553</v>
      </c>
      <c r="G8" s="7">
        <f>IF(DAY(SetDom1)=1,IF(AND(YEAR(SetDom1+12)=AnoDoCalendário,MONTH(SetDom1+12)=9),SetDom1+12,""),IF(AND(YEAR(SetDom1+19)=AnoDoCalendário,MONTH(SetDom1+19)=9),SetDom1+19,""))</f>
        <v>45554</v>
      </c>
      <c r="H8" s="44">
        <f>IF(DAY(SetDom1)=1,IF(AND(YEAR(SetDom1+13)=AnoDoCalendário,MONTH(SetDom1+13)=9),SetDom1+13,""),IF(AND(YEAR(SetDom1+20)=AnoDoCalendário,MONTH(SetDom1+20)=9),SetDom1+20,""))</f>
        <v>45555</v>
      </c>
      <c r="I8" s="44">
        <f>IF(DAY(SetDom1)=1,IF(AND(YEAR(SetDom1+14)=AnoDoCalendário,MONTH(SetDom1+14)=9),SetDom1+14,""),IF(AND(YEAR(SetDom1+21)=AnoDoCalendário,MONTH(SetDom1+21)=9),SetDom1+21,""))</f>
        <v>45556</v>
      </c>
      <c r="J8" s="5"/>
      <c r="K8" s="44">
        <f>IF(DAY(OutDom1)=1,IF(AND(YEAR(OutDom1+8)=AnoDoCalendário,MONTH(OutDom1+8)=10),OutDom1+8,""),IF(AND(YEAR(OutDom1+15)=AnoDoCalendário,MONTH(OutDom1+15)=10),OutDom1+15,""))</f>
        <v>45578</v>
      </c>
      <c r="L8" s="44">
        <f>IF(DAY(OutDom1)=1,IF(AND(YEAR(OutDom1+9)=AnoDoCalendário,MONTH(OutDom1+9)=10),OutDom1+9,""),IF(AND(YEAR(OutDom1+16)=AnoDoCalendário,MONTH(OutDom1+16)=10),OutDom1+16,""))</f>
        <v>45579</v>
      </c>
      <c r="M8" s="44">
        <f>IF(DAY(OutDom1)=1,IF(AND(YEAR(OutDom1+10)=AnoDoCalendário,MONTH(OutDom1+10)=10),OutDom1+10,""),IF(AND(YEAR(OutDom1+17)=AnoDoCalendário,MONTH(OutDom1+17)=10),OutDom1+17,""))</f>
        <v>45580</v>
      </c>
      <c r="N8" s="44">
        <f>IF(DAY(OutDom1)=1,IF(AND(YEAR(OutDom1+11)=AnoDoCalendário,MONTH(OutDom1+11)=10),OutDom1+11,""),IF(AND(YEAR(OutDom1+18)=AnoDoCalendário,MONTH(OutDom1+18)=10),OutDom1+18,""))</f>
        <v>45581</v>
      </c>
      <c r="O8" s="7">
        <f>IF(DAY(OutDom1)=1,IF(AND(YEAR(OutDom1+12)=AnoDoCalendário,MONTH(OutDom1+12)=10),OutDom1+12,""),IF(AND(YEAR(OutDom1+19)=AnoDoCalendário,MONTH(OutDom1+19)=10),OutDom1+19,""))</f>
        <v>45582</v>
      </c>
      <c r="P8" s="7">
        <f>IF(DAY(OutDom1)=1,IF(AND(YEAR(OutDom1+13)=AnoDoCalendário,MONTH(OutDom1+13)=10),OutDom1+13,""),IF(AND(YEAR(OutDom1+20)=AnoDoCalendário,MONTH(OutDom1+20)=10),OutDom1+20,""))</f>
        <v>45583</v>
      </c>
      <c r="Q8" s="7">
        <f>IF(DAY(OutDom1)=1,IF(AND(YEAR(OutDom1+14)=AnoDoCalendário,MONTH(OutDom1+14)=10),OutDom1+14,""),IF(AND(YEAR(OutDom1+21)=AnoDoCalendário,MONTH(OutDom1+21)=10),OutDom1+21,""))</f>
        <v>45584</v>
      </c>
      <c r="U8" s="142"/>
      <c r="W8" s="145"/>
      <c r="X8" s="146"/>
      <c r="Y8" s="146"/>
      <c r="Z8" s="146"/>
      <c r="AA8" s="146"/>
      <c r="AB8" s="68"/>
      <c r="AD8" s="40"/>
      <c r="AE8" s="116"/>
      <c r="AF8" s="47"/>
      <c r="AG8" s="121"/>
      <c r="AH8" s="122"/>
      <c r="AI8" s="122"/>
      <c r="AJ8" s="122"/>
      <c r="AK8" s="123"/>
    </row>
    <row r="9" spans="1:40" ht="15" x14ac:dyDescent="0.2">
      <c r="A9" s="46"/>
      <c r="C9" s="7">
        <f>IF(DAY(SetDom1)=1,IF(AND(YEAR(SetDom1+15)=AnoDoCalendário,MONTH(SetDom1+15)=9),SetDom1+15,""),IF(AND(YEAR(SetDom1+22)=AnoDoCalendário,MONTH(SetDom1+22)=9),SetDom1+22,""))</f>
        <v>45557</v>
      </c>
      <c r="D9" s="44">
        <f>IF(DAY(SetDom1)=1,IF(AND(YEAR(SetDom1+16)=AnoDoCalendário,MONTH(SetDom1+16)=9),SetDom1+16,""),IF(AND(YEAR(SetDom1+23)=AnoDoCalendário,MONTH(SetDom1+23)=9),SetDom1+23,""))</f>
        <v>45558</v>
      </c>
      <c r="E9" s="44">
        <f>IF(DAY(SetDom1)=1,IF(AND(YEAR(SetDom1+17)=AnoDoCalendário,MONTH(SetDom1+17)=9),SetDom1+17,""),IF(AND(YEAR(SetDom1+24)=AnoDoCalendário,MONTH(SetDom1+24)=9),SetDom1+24,""))</f>
        <v>45559</v>
      </c>
      <c r="F9" s="7">
        <f>IF(DAY(SetDom1)=1,IF(AND(YEAR(SetDom1+18)=AnoDoCalendário,MONTH(SetDom1+18)=9),SetDom1+18,""),IF(AND(YEAR(SetDom1+25)=AnoDoCalendário,MONTH(SetDom1+25)=9),SetDom1+25,""))</f>
        <v>45560</v>
      </c>
      <c r="G9" s="44">
        <f>IF(DAY(SetDom1)=1,IF(AND(YEAR(SetDom1+19)=AnoDoCalendário,MONTH(SetDom1+19)=9),SetDom1+19,""),IF(AND(YEAR(SetDom1+26)=AnoDoCalendário,MONTH(SetDom1+26)=9),SetDom1+26,""))</f>
        <v>45561</v>
      </c>
      <c r="H9" s="44">
        <f>IF(DAY(SetDom1)=1,IF(AND(YEAR(SetDom1+20)=AnoDoCalendário,MONTH(SetDom1+20)=9),SetDom1+20,""),IF(AND(YEAR(SetDom1+27)=AnoDoCalendário,MONTH(SetDom1+27)=9),SetDom1+27,""))</f>
        <v>45562</v>
      </c>
      <c r="I9" s="44">
        <f>IF(DAY(SetDom1)=1,IF(AND(YEAR(SetDom1+21)=AnoDoCalendário,MONTH(SetDom1+21)=9),SetDom1+21,""),IF(AND(YEAR(SetDom1+28)=AnoDoCalendário,MONTH(SetDom1+28)=9),SetDom1+28,""))</f>
        <v>45563</v>
      </c>
      <c r="J9" s="5"/>
      <c r="K9" s="7">
        <f>IF(DAY(OutDom1)=1,IF(AND(YEAR(OutDom1+15)=AnoDoCalendário,MONTH(OutDom1+15)=10),OutDom1+15,""),IF(AND(YEAR(OutDom1+22)=AnoDoCalendário,MONTH(OutDom1+22)=10),OutDom1+22,""))</f>
        <v>45585</v>
      </c>
      <c r="L9" s="7">
        <f>IF(DAY(OutDom1)=1,IF(AND(YEAR(OutDom1+16)=AnoDoCalendário,MONTH(OutDom1+16)=10),OutDom1+16,""),IF(AND(YEAR(OutDom1+23)=AnoDoCalendário,MONTH(OutDom1+23)=10),OutDom1+23,""))</f>
        <v>45586</v>
      </c>
      <c r="M9" s="7">
        <f>IF(DAY(OutDom1)=1,IF(AND(YEAR(OutDom1+17)=AnoDoCalendário,MONTH(OutDom1+17)=10),OutDom1+17,""),IF(AND(YEAR(OutDom1+24)=AnoDoCalendário,MONTH(OutDom1+24)=10),OutDom1+24,""))</f>
        <v>45587</v>
      </c>
      <c r="N9" s="44">
        <f>IF(DAY(OutDom1)=1,IF(AND(YEAR(OutDom1+18)=AnoDoCalendário,MONTH(OutDom1+18)=10),OutDom1+18,""),IF(AND(YEAR(OutDom1+25)=AnoDoCalendário,MONTH(OutDom1+25)=10),OutDom1+25,""))</f>
        <v>45588</v>
      </c>
      <c r="O9" s="7">
        <f>IF(DAY(OutDom1)=1,IF(AND(YEAR(OutDom1+19)=AnoDoCalendário,MONTH(OutDom1+19)=10),OutDom1+19,""),IF(AND(YEAR(OutDom1+26)=AnoDoCalendário,MONTH(OutDom1+26)=10),OutDom1+26,""))</f>
        <v>45589</v>
      </c>
      <c r="P9" s="7">
        <f>IF(DAY(OutDom1)=1,IF(AND(YEAR(OutDom1+20)=AnoDoCalendário,MONTH(OutDom1+20)=10),OutDom1+20,""),IF(AND(YEAR(OutDom1+27)=AnoDoCalendário,MONTH(OutDom1+27)=10),OutDom1+27,""))</f>
        <v>45590</v>
      </c>
      <c r="Q9" s="7">
        <f>IF(DAY(OutDom1)=1,IF(AND(YEAR(OutDom1+21)=AnoDoCalendário,MONTH(OutDom1+21)=10),OutDom1+21,""),IF(AND(YEAR(OutDom1+28)=AnoDoCalendário,MONTH(OutDom1+28)=10),OutDom1+28,""))</f>
        <v>45591</v>
      </c>
      <c r="U9" s="142"/>
      <c r="W9" s="145"/>
      <c r="X9" s="146"/>
      <c r="Y9" s="146"/>
      <c r="Z9" s="146"/>
      <c r="AA9" s="146"/>
      <c r="AB9" s="68"/>
      <c r="AD9" s="40"/>
      <c r="AE9" s="116"/>
      <c r="AF9" s="47"/>
      <c r="AG9" s="121"/>
      <c r="AH9" s="122"/>
      <c r="AI9" s="122"/>
      <c r="AJ9" s="122"/>
      <c r="AK9" s="123"/>
    </row>
    <row r="10" spans="1:40" ht="15" x14ac:dyDescent="0.2">
      <c r="A10" s="46"/>
      <c r="C10" s="7">
        <f>IF(DAY(SetDom1)=1,IF(AND(YEAR(SetDom1+22)=AnoDoCalendário,MONTH(SetDom1+22)=9),SetDom1+22,""),IF(AND(YEAR(SetDom1+29)=AnoDoCalendário,MONTH(SetDom1+29)=9),SetDom1+29,""))</f>
        <v>45564</v>
      </c>
      <c r="D10" s="44">
        <f>IF(DAY(SetDom1)=1,IF(AND(YEAR(SetDom1+23)=AnoDoCalendário,MONTH(SetDom1+23)=9),SetDom1+23,""),IF(AND(YEAR(SetDom1+30)=AnoDoCalendário,MONTH(SetDom1+30)=9),SetDom1+30,""))</f>
        <v>45565</v>
      </c>
      <c r="E10" s="44" t="str">
        <f>IF(DAY(SetDom1)=1,IF(AND(YEAR(SetDom1+24)=AnoDoCalendário,MONTH(SetDom1+24)=9),SetDom1+24,""),IF(AND(YEAR(SetDom1+31)=AnoDoCalendário,MONTH(SetDom1+31)=9),SetDom1+31,""))</f>
        <v/>
      </c>
      <c r="F10" s="44" t="str">
        <f>IF(DAY(SetDom1)=1,IF(AND(YEAR(SetDom1+25)=AnoDoCalendário,MONTH(SetDom1+25)=9),SetDom1+25,""),IF(AND(YEAR(SetDom1+32)=AnoDoCalendário,MONTH(SetDom1+32)=9),SetDom1+32,""))</f>
        <v/>
      </c>
      <c r="G10" s="7" t="str">
        <f>IF(DAY(SetDom1)=1,IF(AND(YEAR(SetDom1+26)=AnoDoCalendário,MONTH(SetDom1+26)=9),SetDom1+26,""),IF(AND(YEAR(SetDom1+33)=AnoDoCalendário,MONTH(SetDom1+33)=9),SetDom1+33,""))</f>
        <v/>
      </c>
      <c r="H10" s="7" t="str">
        <f>IF(DAY(SetDom1)=1,IF(AND(YEAR(SetDom1+27)=AnoDoCalendário,MONTH(SetDom1+27)=9),SetDom1+27,""),IF(AND(YEAR(SetDom1+34)=AnoDoCalendário,MONTH(SetDom1+34)=9),SetDom1+34,""))</f>
        <v/>
      </c>
      <c r="I10" s="44" t="str">
        <f>IF(DAY(SetDom1)=1,IF(AND(YEAR(SetDom1+28)=AnoDoCalendário,MONTH(SetDom1+28)=9),SetDom1+28,""),IF(AND(YEAR(SetDom1+35)=AnoDoCalendário,MONTH(SetDom1+35)=9),SetDom1+35,""))</f>
        <v/>
      </c>
      <c r="J10" s="5"/>
      <c r="K10" s="7">
        <f>IF(DAY(OutDom1)=1,IF(AND(YEAR(OutDom1+22)=AnoDoCalendário,MONTH(OutDom1+22)=10),OutDom1+22,""),IF(AND(YEAR(OutDom1+29)=AnoDoCalendário,MONTH(OutDom1+29)=10),OutDom1+29,""))</f>
        <v>45592</v>
      </c>
      <c r="L10" s="44">
        <f>IF(DAY(OutDom1)=1,IF(AND(YEAR(OutDom1+23)=AnoDoCalendário,MONTH(OutDom1+23)=10),OutDom1+23,""),IF(AND(YEAR(OutDom1+30)=AnoDoCalendário,MONTH(OutDom1+30)=10),OutDom1+30,""))</f>
        <v>45593</v>
      </c>
      <c r="M10" s="44">
        <f>IF(DAY(OutDom1)=1,IF(AND(YEAR(OutDom1+24)=AnoDoCalendário,MONTH(OutDom1+24)=10),OutDom1+24,""),IF(AND(YEAR(OutDom1+31)=AnoDoCalendário,MONTH(OutDom1+31)=10),OutDom1+31,""))</f>
        <v>45594</v>
      </c>
      <c r="N10" s="7">
        <f>IF(DAY(OutDom1)=1,IF(AND(YEAR(OutDom1+25)=AnoDoCalendário,MONTH(OutDom1+25)=10),OutDom1+25,""),IF(AND(YEAR(OutDom1+32)=AnoDoCalendário,MONTH(OutDom1+32)=10),OutDom1+32,""))</f>
        <v>45595</v>
      </c>
      <c r="O10" s="7">
        <f>IF(DAY(OutDom1)=1,IF(AND(YEAR(OutDom1+26)=AnoDoCalendário,MONTH(OutDom1+26)=10),OutDom1+26,""),IF(AND(YEAR(OutDom1+33)=AnoDoCalendário,MONTH(OutDom1+33)=10),OutDom1+33,""))</f>
        <v>45596</v>
      </c>
      <c r="P10" s="7" t="str">
        <f>IF(DAY(OutDom1)=1,IF(AND(YEAR(OutDom1+27)=AnoDoCalendário,MONTH(OutDom1+27)=10),OutDom1+27,""),IF(AND(YEAR(OutDom1+34)=AnoDoCalendário,MONTH(OutDom1+34)=10),OutDom1+34,""))</f>
        <v/>
      </c>
      <c r="Q10" s="72" t="str">
        <f>IF(DAY(OutDom1)=1,IF(AND(YEAR(OutDom1+28)=AnoDoCalendário,MONTH(OutDom1+28)=10),OutDom1+28,""),IF(AND(YEAR(OutDom1+35)=AnoDoCalendário,MONTH(OutDom1+35)=10),OutDom1+35,""))</f>
        <v/>
      </c>
      <c r="U10" s="142"/>
      <c r="W10" s="145"/>
      <c r="X10" s="146"/>
      <c r="Y10" s="146"/>
      <c r="Z10" s="146"/>
      <c r="AA10" s="146"/>
      <c r="AB10" s="68"/>
      <c r="AD10" s="40"/>
      <c r="AE10" s="116"/>
      <c r="AF10" s="47"/>
      <c r="AG10" s="121"/>
      <c r="AH10" s="122"/>
      <c r="AI10" s="122"/>
      <c r="AJ10" s="122"/>
      <c r="AK10" s="123"/>
    </row>
    <row r="11" spans="1:40" ht="15" x14ac:dyDescent="0.2">
      <c r="A11" s="46"/>
      <c r="C11" s="7" t="str">
        <f>IF(DAY(SetDom1)=1,IF(AND(YEAR(SetDom1+29)=AnoDoCalendário,MONTH(SetDom1+29)=9),SetDom1+29,""),IF(AND(YEAR(SetDom1+36)=AnoDoCalendário,MONTH(SetDom1+36)=9),SetDom1+36,""))</f>
        <v/>
      </c>
      <c r="D11" s="7" t="str">
        <f>IF(DAY(SetDom1)=1,IF(AND(YEAR(SetDom1+30)=AnoDoCalendário,MONTH(SetDom1+30)=9),SetDom1+30,""),IF(AND(YEAR(SetDom1+37)=AnoDoCalendário,MONTH(SetDom1+37)=9),SetDom1+37,""))</f>
        <v/>
      </c>
      <c r="E11" s="7" t="str">
        <f>IF(DAY(SetDom1)=1,IF(AND(YEAR(SetDom1+31)=AnoDoCalendário,MONTH(SetDom1+31)=9),SetDom1+31,""),IF(AND(YEAR(SetDom1+38)=AnoDoCalendário,MONTH(SetDom1+38)=9),SetDom1+38,""))</f>
        <v/>
      </c>
      <c r="F11" s="7" t="str">
        <f>IF(DAY(SetDom1)=1,IF(AND(YEAR(SetDom1+32)=AnoDoCalendário,MONTH(SetDom1+32)=9),SetDom1+32,""),IF(AND(YEAR(SetDom1+39)=AnoDoCalendário,MONTH(SetDom1+39)=9),SetDom1+39,""))</f>
        <v/>
      </c>
      <c r="G11" s="7" t="str">
        <f>IF(DAY(SetDom1)=1,IF(AND(YEAR(SetDom1+33)=AnoDoCalendário,MONTH(SetDom1+33)=9),SetDom1+33,""),IF(AND(YEAR(SetDom1+40)=AnoDoCalendário,MONTH(SetDom1+40)=9),SetDom1+40,""))</f>
        <v/>
      </c>
      <c r="H11" s="7" t="str">
        <f>IF(DAY(SetDom1)=1,IF(AND(YEAR(SetDom1+34)=AnoDoCalendário,MONTH(SetDom1+34)=9),SetDom1+34,""),IF(AND(YEAR(SetDom1+41)=AnoDoCalendário,MONTH(SetDom1+41)=9),SetDom1+41,""))</f>
        <v/>
      </c>
      <c r="I11" s="7" t="str">
        <f>IF(DAY(SetDom1)=1,IF(AND(YEAR(SetDom1+35)=AnoDoCalendário,MONTH(SetDom1+35)=9),SetDom1+35,""),IF(AND(YEAR(SetDom1+42)=AnoDoCalendário,MONTH(SetDom1+42)=9),SetDom1+42,""))</f>
        <v/>
      </c>
      <c r="J11" s="5"/>
      <c r="K11" s="7" t="str">
        <f>IF(DAY(OutDom1)=1,IF(AND(YEAR(OutDom1+29)=AnoDoCalendário,MONTH(OutDom1+29)=10),OutDom1+29,""),IF(AND(YEAR(OutDom1+36)=AnoDoCalendário,MONTH(OutDom1+36)=10),OutDom1+36,""))</f>
        <v/>
      </c>
      <c r="L11" s="7" t="str">
        <f>IF(DAY(OutDom1)=1,IF(AND(YEAR(OutDom1+30)=AnoDoCalendário,MONTH(OutDom1+30)=10),OutDom1+30,""),IF(AND(YEAR(OutDom1+37)=AnoDoCalendário,MONTH(OutDom1+37)=10),OutDom1+37,""))</f>
        <v/>
      </c>
      <c r="M11" s="7" t="str">
        <f>IF(DAY(OutDom1)=1,IF(AND(YEAR(OutDom1+31)=AnoDoCalendário,MONTH(OutDom1+31)=10),OutDom1+31,""),IF(AND(YEAR(OutDom1+38)=AnoDoCalendário,MONTH(OutDom1+38)=10),OutDom1+38,""))</f>
        <v/>
      </c>
      <c r="N11" s="7" t="str">
        <f>IF(DAY(OutDom1)=1,IF(AND(YEAR(OutDom1+32)=AnoDoCalendário,MONTH(OutDom1+32)=10),OutDom1+32,""),IF(AND(YEAR(OutDom1+39)=AnoDoCalendário,MONTH(OutDom1+39)=10),OutDom1+39,""))</f>
        <v/>
      </c>
      <c r="O11" s="7" t="str">
        <f>IF(DAY(OutDom1)=1,IF(AND(YEAR(OutDom1+33)=AnoDoCalendário,MONTH(OutDom1+33)=10),OutDom1+33,""),IF(AND(YEAR(OutDom1+40)=AnoDoCalendário,MONTH(OutDom1+40)=10),OutDom1+40,""))</f>
        <v/>
      </c>
      <c r="P11" s="7" t="str">
        <f>IF(DAY(OutDom1)=1,IF(AND(YEAR(OutDom1+34)=AnoDoCalendário,MONTH(OutDom1+34)=10),OutDom1+34,""),IF(AND(YEAR(OutDom1+41)=AnoDoCalendário,MONTH(OutDom1+41)=10),OutDom1+41,""))</f>
        <v/>
      </c>
      <c r="Q11" s="7" t="str">
        <f>IF(DAY(OutDom1)=1,IF(AND(YEAR(OutDom1+35)=AnoDoCalendário,MONTH(OutDom1+35)=10),OutDom1+35,""),IF(AND(YEAR(OutDom1+42)=AnoDoCalendário,MONTH(OutDom1+42)=10),OutDom1+42,""))</f>
        <v/>
      </c>
      <c r="U11" s="143"/>
      <c r="W11" s="147"/>
      <c r="X11" s="148"/>
      <c r="Y11" s="148"/>
      <c r="Z11" s="148"/>
      <c r="AA11" s="148"/>
      <c r="AB11" s="69"/>
      <c r="AD11" s="40"/>
      <c r="AE11" s="117"/>
      <c r="AF11" s="47"/>
      <c r="AG11" s="124"/>
      <c r="AH11" s="125"/>
      <c r="AI11" s="125"/>
      <c r="AJ11" s="125"/>
      <c r="AK11" s="126"/>
    </row>
    <row r="12" spans="1:40" ht="15" x14ac:dyDescent="0.2">
      <c r="A12" s="48"/>
      <c r="B12" s="22"/>
      <c r="C12" s="22"/>
      <c r="D12" s="22"/>
      <c r="E12" s="22"/>
      <c r="F12" s="22"/>
      <c r="G12" s="22"/>
      <c r="H12" s="22"/>
      <c r="I12" s="22"/>
      <c r="J12" s="23"/>
      <c r="K12" s="22"/>
      <c r="L12" s="22"/>
      <c r="M12" s="22"/>
      <c r="N12" s="22"/>
      <c r="O12" s="22"/>
      <c r="P12" s="22"/>
      <c r="Q12" s="22"/>
      <c r="R12" s="22"/>
      <c r="U12" s="1"/>
      <c r="AD12" s="40"/>
      <c r="AE12" s="59"/>
      <c r="AF12" s="47"/>
      <c r="AG12" s="47"/>
      <c r="AH12" s="47"/>
      <c r="AI12" s="47"/>
      <c r="AJ12" s="47"/>
      <c r="AK12" s="47"/>
    </row>
    <row r="13" spans="1:40" ht="15" x14ac:dyDescent="0.2">
      <c r="A13" s="46"/>
      <c r="C13" s="150"/>
      <c r="D13" s="150"/>
      <c r="E13" s="150"/>
      <c r="F13" s="150"/>
      <c r="G13" s="150"/>
      <c r="H13" s="150"/>
      <c r="I13" s="150"/>
      <c r="J13" s="5"/>
      <c r="K13" s="150"/>
      <c r="L13" s="150"/>
      <c r="M13" s="150"/>
      <c r="N13" s="150"/>
      <c r="O13" s="150"/>
      <c r="P13" s="150"/>
      <c r="Q13" s="150"/>
      <c r="U13" s="12" t="s">
        <v>17</v>
      </c>
      <c r="W13" s="12" t="s">
        <v>18</v>
      </c>
      <c r="X13" s="12"/>
      <c r="Y13" s="12"/>
      <c r="Z13" s="12"/>
      <c r="AA13" s="12"/>
      <c r="AB13" s="18"/>
      <c r="AD13" s="40"/>
      <c r="AE13" s="47" t="s">
        <v>17</v>
      </c>
      <c r="AF13" s="47"/>
      <c r="AG13" s="47" t="s">
        <v>18</v>
      </c>
      <c r="AH13" s="47"/>
      <c r="AI13" s="47"/>
      <c r="AJ13" s="47"/>
      <c r="AK13" s="47"/>
    </row>
    <row r="14" spans="1:40" ht="15" customHeight="1" x14ac:dyDescent="0.2">
      <c r="A14" s="46"/>
      <c r="C14" s="26" t="s">
        <v>19</v>
      </c>
      <c r="D14" s="27"/>
      <c r="E14" s="27"/>
      <c r="F14" s="27"/>
      <c r="G14" s="27" t="s">
        <v>20</v>
      </c>
      <c r="H14" s="28"/>
      <c r="I14" s="28" t="s">
        <v>21</v>
      </c>
      <c r="J14" s="5"/>
      <c r="K14" s="3"/>
      <c r="L14" s="26" t="s">
        <v>19</v>
      </c>
      <c r="M14" s="27"/>
      <c r="N14" s="27"/>
      <c r="O14" s="27" t="s">
        <v>20</v>
      </c>
      <c r="P14" s="27"/>
      <c r="Q14" s="28" t="s">
        <v>21</v>
      </c>
      <c r="U14" s="151" t="s">
        <v>22</v>
      </c>
      <c r="W14" s="130" t="s">
        <v>23</v>
      </c>
      <c r="X14" s="131"/>
      <c r="Y14" s="131"/>
      <c r="Z14" s="131"/>
      <c r="AA14" s="131"/>
      <c r="AB14" s="67"/>
      <c r="AD14" s="40"/>
      <c r="AE14" s="127"/>
      <c r="AF14" s="47"/>
      <c r="AG14" s="118"/>
      <c r="AH14" s="119"/>
      <c r="AI14" s="119"/>
      <c r="AJ14" s="119"/>
      <c r="AK14" s="120"/>
    </row>
    <row r="15" spans="1:40" ht="15" customHeight="1" x14ac:dyDescent="0.2">
      <c r="A15" s="46"/>
      <c r="C15" s="29" t="s">
        <v>38</v>
      </c>
      <c r="D15" s="30"/>
      <c r="E15" s="30"/>
      <c r="F15" s="30"/>
      <c r="G15" s="89">
        <v>45536</v>
      </c>
      <c r="H15" s="92"/>
      <c r="I15" s="73" t="s">
        <v>24</v>
      </c>
      <c r="J15" s="5"/>
      <c r="K15" s="7"/>
      <c r="L15" s="29" t="s">
        <v>96</v>
      </c>
      <c r="M15" s="30"/>
      <c r="N15" s="30"/>
      <c r="O15" s="90">
        <v>45566</v>
      </c>
      <c r="P15" s="90"/>
      <c r="Q15" s="73" t="s">
        <v>24</v>
      </c>
      <c r="U15" s="152"/>
      <c r="W15" s="132"/>
      <c r="X15" s="133"/>
      <c r="Y15" s="133"/>
      <c r="Z15" s="133"/>
      <c r="AA15" s="133"/>
      <c r="AB15" s="68"/>
      <c r="AD15" s="40"/>
      <c r="AE15" s="128"/>
      <c r="AF15" s="47"/>
      <c r="AG15" s="121"/>
      <c r="AH15" s="122"/>
      <c r="AI15" s="122"/>
      <c r="AJ15" s="122"/>
      <c r="AK15" s="123"/>
    </row>
    <row r="16" spans="1:40" ht="15" customHeight="1" x14ac:dyDescent="0.2">
      <c r="A16" s="46"/>
      <c r="C16" s="32" t="s">
        <v>39</v>
      </c>
      <c r="D16" s="33"/>
      <c r="E16" s="33"/>
      <c r="F16" s="33"/>
      <c r="G16" s="93">
        <v>45537</v>
      </c>
      <c r="H16" s="94"/>
      <c r="I16" s="73" t="s">
        <v>24</v>
      </c>
      <c r="J16" s="5"/>
      <c r="K16" s="7"/>
      <c r="L16" s="32" t="s">
        <v>97</v>
      </c>
      <c r="M16" s="33"/>
      <c r="N16" s="33"/>
      <c r="O16" s="91">
        <v>45567</v>
      </c>
      <c r="P16" s="91"/>
      <c r="Q16" s="73" t="s">
        <v>24</v>
      </c>
      <c r="U16" s="152"/>
      <c r="W16" s="132"/>
      <c r="X16" s="133"/>
      <c r="Y16" s="133"/>
      <c r="Z16" s="133"/>
      <c r="AA16" s="133"/>
      <c r="AB16" s="68"/>
      <c r="AD16" s="40"/>
      <c r="AE16" s="128"/>
      <c r="AF16" s="47"/>
      <c r="AG16" s="121"/>
      <c r="AH16" s="122"/>
      <c r="AI16" s="122"/>
      <c r="AJ16" s="122"/>
      <c r="AK16" s="123"/>
    </row>
    <row r="17" spans="1:38" ht="15" customHeight="1" x14ac:dyDescent="0.2">
      <c r="C17" s="29" t="s">
        <v>40</v>
      </c>
      <c r="D17" s="30"/>
      <c r="E17" s="30"/>
      <c r="F17" s="30"/>
      <c r="G17" s="95">
        <v>45538</v>
      </c>
      <c r="H17" s="96"/>
      <c r="I17" s="73" t="s">
        <v>24</v>
      </c>
      <c r="J17" s="5"/>
      <c r="K17" s="7"/>
      <c r="L17" s="29" t="s">
        <v>98</v>
      </c>
      <c r="M17" s="30"/>
      <c r="N17" s="30"/>
      <c r="O17" s="90">
        <v>45568</v>
      </c>
      <c r="P17" s="90"/>
      <c r="Q17" s="73" t="s">
        <v>24</v>
      </c>
      <c r="U17" s="152"/>
      <c r="W17" s="132"/>
      <c r="X17" s="133"/>
      <c r="Y17" s="133"/>
      <c r="Z17" s="133"/>
      <c r="AA17" s="133"/>
      <c r="AB17" s="68"/>
      <c r="AD17" s="40"/>
      <c r="AE17" s="128"/>
      <c r="AF17" s="47"/>
      <c r="AG17" s="121"/>
      <c r="AH17" s="122"/>
      <c r="AI17" s="122"/>
      <c r="AJ17" s="122"/>
      <c r="AK17" s="123"/>
    </row>
    <row r="18" spans="1:38" ht="15" customHeight="1" x14ac:dyDescent="0.2">
      <c r="C18" s="32" t="s">
        <v>41</v>
      </c>
      <c r="D18" s="33"/>
      <c r="E18" s="33"/>
      <c r="F18" s="33"/>
      <c r="G18" s="93">
        <v>45539</v>
      </c>
      <c r="H18" s="94"/>
      <c r="I18" s="73" t="s">
        <v>24</v>
      </c>
      <c r="J18" s="5"/>
      <c r="K18" s="7"/>
      <c r="L18" s="32" t="s">
        <v>99</v>
      </c>
      <c r="M18" s="33"/>
      <c r="N18" s="33"/>
      <c r="O18" s="91">
        <v>45569</v>
      </c>
      <c r="P18" s="91"/>
      <c r="Q18" s="73" t="s">
        <v>24</v>
      </c>
      <c r="U18" s="152"/>
      <c r="W18" s="132"/>
      <c r="X18" s="133"/>
      <c r="Y18" s="133"/>
      <c r="Z18" s="133"/>
      <c r="AA18" s="133"/>
      <c r="AB18" s="68"/>
      <c r="AD18" s="40"/>
      <c r="AE18" s="128"/>
      <c r="AF18" s="47"/>
      <c r="AG18" s="121"/>
      <c r="AH18" s="122"/>
      <c r="AI18" s="122"/>
      <c r="AJ18" s="122"/>
      <c r="AK18" s="123"/>
    </row>
    <row r="19" spans="1:38" ht="15" customHeight="1" x14ac:dyDescent="0.2">
      <c r="C19" s="29" t="s">
        <v>42</v>
      </c>
      <c r="D19" s="30"/>
      <c r="E19" s="30"/>
      <c r="F19" s="30"/>
      <c r="G19" s="95">
        <v>45540</v>
      </c>
      <c r="H19" s="96"/>
      <c r="I19" s="73" t="s">
        <v>24</v>
      </c>
      <c r="J19" s="5"/>
      <c r="K19" s="7"/>
      <c r="L19" s="29" t="s">
        <v>100</v>
      </c>
      <c r="M19" s="30"/>
      <c r="N19" s="30"/>
      <c r="O19" s="90">
        <v>45570</v>
      </c>
      <c r="P19" s="90"/>
      <c r="Q19" s="73" t="s">
        <v>24</v>
      </c>
      <c r="U19" s="152"/>
      <c r="W19" s="132"/>
      <c r="X19" s="133"/>
      <c r="Y19" s="133"/>
      <c r="Z19" s="133"/>
      <c r="AA19" s="133"/>
      <c r="AB19" s="68"/>
      <c r="AD19" s="40"/>
      <c r="AE19" s="128"/>
      <c r="AF19" s="47"/>
      <c r="AG19" s="121"/>
      <c r="AH19" s="122"/>
      <c r="AI19" s="122"/>
      <c r="AJ19" s="122"/>
      <c r="AK19" s="123"/>
    </row>
    <row r="20" spans="1:38" ht="15" customHeight="1" x14ac:dyDescent="0.2">
      <c r="C20" s="32" t="s">
        <v>43</v>
      </c>
      <c r="D20" s="33"/>
      <c r="E20" s="33"/>
      <c r="F20" s="33"/>
      <c r="G20" s="93">
        <v>45541</v>
      </c>
      <c r="H20" s="94"/>
      <c r="I20" s="73" t="s">
        <v>24</v>
      </c>
      <c r="J20" s="5"/>
      <c r="K20" s="7"/>
      <c r="L20" s="32" t="s">
        <v>101</v>
      </c>
      <c r="M20" s="33"/>
      <c r="N20" s="33"/>
      <c r="O20" s="91">
        <v>45571</v>
      </c>
      <c r="P20" s="91"/>
      <c r="Q20" s="73" t="s">
        <v>24</v>
      </c>
      <c r="U20" s="153"/>
      <c r="W20" s="134"/>
      <c r="X20" s="135"/>
      <c r="Y20" s="135"/>
      <c r="Z20" s="135"/>
      <c r="AA20" s="135"/>
      <c r="AB20" s="69"/>
      <c r="AD20" s="40"/>
      <c r="AE20" s="129"/>
      <c r="AF20" s="47"/>
      <c r="AG20" s="124"/>
      <c r="AH20" s="125"/>
      <c r="AI20" s="125"/>
      <c r="AJ20" s="125"/>
      <c r="AK20" s="126"/>
    </row>
    <row r="21" spans="1:38" ht="15" customHeight="1" x14ac:dyDescent="0.2">
      <c r="C21" s="29" t="s">
        <v>44</v>
      </c>
      <c r="D21" s="30"/>
      <c r="E21" s="30"/>
      <c r="F21" s="30"/>
      <c r="G21" s="95">
        <v>45542</v>
      </c>
      <c r="H21" s="96"/>
      <c r="I21" s="73" t="s">
        <v>24</v>
      </c>
      <c r="L21" s="29" t="s">
        <v>102</v>
      </c>
      <c r="M21" s="30"/>
      <c r="N21" s="30"/>
      <c r="O21" s="90">
        <v>45574</v>
      </c>
      <c r="P21" s="90"/>
      <c r="Q21" s="73" t="s">
        <v>24</v>
      </c>
      <c r="U21" s="8"/>
      <c r="V21" s="8"/>
      <c r="W21" s="8"/>
      <c r="X21" s="8"/>
      <c r="Y21" s="8"/>
      <c r="Z21" s="8"/>
      <c r="AA21" s="8"/>
      <c r="AD21" s="40"/>
      <c r="AE21" s="60"/>
      <c r="AF21" s="60"/>
      <c r="AG21" s="60"/>
      <c r="AH21" s="60"/>
      <c r="AI21" s="60"/>
      <c r="AJ21" s="60"/>
      <c r="AK21" s="60"/>
    </row>
    <row r="22" spans="1:38" ht="15" customHeight="1" x14ac:dyDescent="0.2">
      <c r="C22" s="32" t="s">
        <v>45</v>
      </c>
      <c r="D22" s="33"/>
      <c r="E22" s="33"/>
      <c r="F22" s="33"/>
      <c r="G22" s="93">
        <v>45544</v>
      </c>
      <c r="H22" s="94"/>
      <c r="I22" s="73" t="s">
        <v>24</v>
      </c>
      <c r="L22" s="32" t="s">
        <v>103</v>
      </c>
      <c r="M22" s="33"/>
      <c r="N22" s="33"/>
      <c r="O22" s="91">
        <v>45575</v>
      </c>
      <c r="P22" s="91"/>
      <c r="Q22" s="73" t="s">
        <v>24</v>
      </c>
      <c r="U22" s="47" t="s">
        <v>27</v>
      </c>
      <c r="V22" s="47"/>
      <c r="W22" s="47"/>
      <c r="X22" s="47"/>
      <c r="Y22" s="47"/>
      <c r="Z22" s="47"/>
      <c r="AA22" s="47"/>
      <c r="AB22" s="40"/>
      <c r="AC22" s="4"/>
      <c r="AD22" s="40"/>
      <c r="AE22" s="38" t="s">
        <v>27</v>
      </c>
      <c r="AF22" s="38"/>
      <c r="AG22" s="38"/>
      <c r="AH22" s="38"/>
      <c r="AI22" s="38"/>
      <c r="AJ22" s="38"/>
      <c r="AK22" s="38"/>
    </row>
    <row r="23" spans="1:38" ht="15" customHeight="1" x14ac:dyDescent="0.2">
      <c r="C23" s="29" t="s">
        <v>46</v>
      </c>
      <c r="D23" s="30"/>
      <c r="E23" s="30"/>
      <c r="F23" s="30"/>
      <c r="G23" s="95">
        <v>45545</v>
      </c>
      <c r="H23" s="96"/>
      <c r="I23" s="73" t="s">
        <v>24</v>
      </c>
      <c r="L23" s="29" t="s">
        <v>104</v>
      </c>
      <c r="M23" s="30"/>
      <c r="N23" s="30"/>
      <c r="O23" s="90">
        <v>45577</v>
      </c>
      <c r="P23" s="90"/>
      <c r="Q23" s="73" t="s">
        <v>24</v>
      </c>
      <c r="U23" s="58" t="s">
        <v>13</v>
      </c>
      <c r="V23" s="47"/>
      <c r="W23" s="47" t="s">
        <v>14</v>
      </c>
      <c r="X23" s="47"/>
      <c r="Y23" s="47"/>
      <c r="Z23" s="47"/>
      <c r="AA23" s="47"/>
      <c r="AB23" s="40"/>
      <c r="AC23" s="4"/>
      <c r="AD23" s="40"/>
      <c r="AE23" s="55" t="s">
        <v>13</v>
      </c>
      <c r="AF23" s="38"/>
      <c r="AG23" s="38" t="s">
        <v>14</v>
      </c>
      <c r="AH23" s="38"/>
      <c r="AI23" s="38"/>
      <c r="AJ23" s="38"/>
      <c r="AK23" s="38"/>
    </row>
    <row r="24" spans="1:38" ht="15" customHeight="1" x14ac:dyDescent="0.2">
      <c r="C24" s="32" t="s">
        <v>47</v>
      </c>
      <c r="D24" s="33"/>
      <c r="E24" s="33"/>
      <c r="F24" s="33"/>
      <c r="G24" s="93">
        <v>45546</v>
      </c>
      <c r="H24" s="94"/>
      <c r="I24" s="73" t="s">
        <v>24</v>
      </c>
      <c r="L24" s="32" t="s">
        <v>51</v>
      </c>
      <c r="M24" s="33"/>
      <c r="N24" s="33"/>
      <c r="O24" s="91">
        <v>45580</v>
      </c>
      <c r="P24" s="91"/>
      <c r="Q24" s="73" t="s">
        <v>24</v>
      </c>
      <c r="U24" s="115"/>
      <c r="V24" s="47"/>
      <c r="W24" s="118"/>
      <c r="X24" s="119"/>
      <c r="Y24" s="119"/>
      <c r="Z24" s="119"/>
      <c r="AA24" s="120"/>
      <c r="AB24" s="70"/>
      <c r="AC24" s="4"/>
      <c r="AD24" s="40"/>
      <c r="AE24" s="115"/>
      <c r="AF24" s="38"/>
      <c r="AG24" s="118"/>
      <c r="AH24" s="119"/>
      <c r="AI24" s="119"/>
      <c r="AJ24" s="119"/>
      <c r="AK24" s="120"/>
    </row>
    <row r="25" spans="1:38" ht="15" customHeight="1" x14ac:dyDescent="0.2">
      <c r="C25" s="29" t="s">
        <v>48</v>
      </c>
      <c r="D25" s="30"/>
      <c r="E25" s="30"/>
      <c r="F25" s="30"/>
      <c r="G25" s="95">
        <v>45547</v>
      </c>
      <c r="H25" s="96"/>
      <c r="I25" s="73" t="s">
        <v>24</v>
      </c>
      <c r="L25" s="29" t="s">
        <v>105</v>
      </c>
      <c r="M25" s="30"/>
      <c r="N25" s="30"/>
      <c r="O25" s="90">
        <v>45581</v>
      </c>
      <c r="P25" s="90"/>
      <c r="Q25" s="73" t="s">
        <v>24</v>
      </c>
      <c r="U25" s="116"/>
      <c r="V25" s="47"/>
      <c r="W25" s="121"/>
      <c r="X25" s="122"/>
      <c r="Y25" s="122"/>
      <c r="Z25" s="122"/>
      <c r="AA25" s="123"/>
      <c r="AB25" s="70"/>
      <c r="AC25" s="4"/>
      <c r="AD25" s="40"/>
      <c r="AE25" s="116"/>
      <c r="AF25" s="38"/>
      <c r="AG25" s="121"/>
      <c r="AH25" s="122"/>
      <c r="AI25" s="122"/>
      <c r="AJ25" s="122"/>
      <c r="AK25" s="123"/>
    </row>
    <row r="26" spans="1:38" ht="15" customHeight="1" x14ac:dyDescent="0.2">
      <c r="C26" s="32" t="s">
        <v>49</v>
      </c>
      <c r="D26" s="33"/>
      <c r="E26" s="33"/>
      <c r="F26" s="33"/>
      <c r="G26" s="93">
        <v>45548</v>
      </c>
      <c r="H26" s="94"/>
      <c r="I26" s="73" t="s">
        <v>24</v>
      </c>
      <c r="L26" s="32" t="s">
        <v>106</v>
      </c>
      <c r="M26" s="33"/>
      <c r="N26" s="33"/>
      <c r="O26" s="91">
        <v>45582</v>
      </c>
      <c r="P26" s="91"/>
      <c r="Q26" s="73" t="s">
        <v>24</v>
      </c>
      <c r="U26" s="116"/>
      <c r="V26" s="47"/>
      <c r="W26" s="121"/>
      <c r="X26" s="122"/>
      <c r="Y26" s="122"/>
      <c r="Z26" s="122"/>
      <c r="AA26" s="123"/>
      <c r="AB26" s="70"/>
      <c r="AC26" s="4"/>
      <c r="AD26" s="40"/>
      <c r="AE26" s="116"/>
      <c r="AF26" s="38"/>
      <c r="AG26" s="121"/>
      <c r="AH26" s="122"/>
      <c r="AI26" s="122"/>
      <c r="AJ26" s="122"/>
      <c r="AK26" s="123"/>
    </row>
    <row r="27" spans="1:38" ht="15" customHeight="1" x14ac:dyDescent="0.2">
      <c r="C27" s="29" t="s">
        <v>50</v>
      </c>
      <c r="D27" s="30"/>
      <c r="E27" s="30"/>
      <c r="F27" s="30"/>
      <c r="G27" s="95">
        <v>45550</v>
      </c>
      <c r="H27" s="96"/>
      <c r="I27" s="73" t="s">
        <v>24</v>
      </c>
      <c r="L27" s="29" t="s">
        <v>107</v>
      </c>
      <c r="M27" s="30"/>
      <c r="N27" s="30"/>
      <c r="O27" s="90">
        <v>45583</v>
      </c>
      <c r="P27" s="90"/>
      <c r="Q27" s="73" t="s">
        <v>24</v>
      </c>
      <c r="U27" s="116"/>
      <c r="V27" s="47"/>
      <c r="W27" s="121"/>
      <c r="X27" s="122"/>
      <c r="Y27" s="122"/>
      <c r="Z27" s="122"/>
      <c r="AA27" s="123"/>
      <c r="AB27" s="70"/>
      <c r="AC27" s="4"/>
      <c r="AD27" s="40"/>
      <c r="AE27" s="116"/>
      <c r="AF27" s="38"/>
      <c r="AG27" s="121"/>
      <c r="AH27" s="122"/>
      <c r="AI27" s="122"/>
      <c r="AJ27" s="122"/>
      <c r="AK27" s="123"/>
    </row>
    <row r="28" spans="1:38" ht="15" customHeight="1" x14ac:dyDescent="0.2">
      <c r="C28" s="32" t="s">
        <v>52</v>
      </c>
      <c r="D28" s="33"/>
      <c r="E28" s="33"/>
      <c r="F28" s="33"/>
      <c r="G28" s="93">
        <v>45551</v>
      </c>
      <c r="H28" s="94"/>
      <c r="I28" s="73" t="s">
        <v>24</v>
      </c>
      <c r="L28" s="32" t="s">
        <v>108</v>
      </c>
      <c r="M28" s="33"/>
      <c r="N28" s="33"/>
      <c r="O28" s="91">
        <v>45584</v>
      </c>
      <c r="P28" s="91"/>
      <c r="Q28" s="73" t="s">
        <v>24</v>
      </c>
      <c r="U28" s="117"/>
      <c r="V28" s="47"/>
      <c r="W28" s="124"/>
      <c r="X28" s="125"/>
      <c r="Y28" s="125"/>
      <c r="Z28" s="125"/>
      <c r="AA28" s="126"/>
      <c r="AB28" s="70"/>
      <c r="AC28" s="4"/>
      <c r="AD28" s="40"/>
      <c r="AE28" s="117"/>
      <c r="AF28" s="38"/>
      <c r="AG28" s="124"/>
      <c r="AH28" s="125"/>
      <c r="AI28" s="125"/>
      <c r="AJ28" s="125"/>
      <c r="AK28" s="126"/>
    </row>
    <row r="29" spans="1:38" ht="15" customHeight="1" x14ac:dyDescent="0.2">
      <c r="C29" s="29" t="s">
        <v>53</v>
      </c>
      <c r="D29" s="30"/>
      <c r="E29" s="30"/>
      <c r="F29" s="30"/>
      <c r="G29" s="95">
        <v>45554</v>
      </c>
      <c r="H29" s="96"/>
      <c r="I29" s="73" t="s">
        <v>24</v>
      </c>
      <c r="L29" s="29" t="s">
        <v>109</v>
      </c>
      <c r="M29" s="30"/>
      <c r="N29" s="30"/>
      <c r="O29" s="90">
        <v>45585</v>
      </c>
      <c r="P29" s="90"/>
      <c r="Q29" s="73" t="s">
        <v>24</v>
      </c>
      <c r="U29" s="59"/>
      <c r="V29" s="47"/>
      <c r="W29" s="47"/>
      <c r="X29" s="47"/>
      <c r="Y29" s="47"/>
      <c r="Z29" s="47"/>
      <c r="AA29" s="47"/>
      <c r="AB29" s="40"/>
      <c r="AC29" s="4"/>
      <c r="AD29" s="40"/>
      <c r="AE29" s="56"/>
      <c r="AF29" s="38"/>
      <c r="AG29" s="38"/>
      <c r="AH29" s="38"/>
      <c r="AI29" s="38"/>
      <c r="AJ29" s="38"/>
      <c r="AK29" s="38"/>
    </row>
    <row r="30" spans="1:38" s="4" customFormat="1" ht="15" customHeight="1" x14ac:dyDescent="0.2">
      <c r="A30" s="47"/>
      <c r="B30"/>
      <c r="C30" s="32" t="s">
        <v>54</v>
      </c>
      <c r="D30" s="33"/>
      <c r="E30" s="33"/>
      <c r="F30" s="33"/>
      <c r="G30" s="93">
        <v>45555</v>
      </c>
      <c r="H30" s="94"/>
      <c r="I30" s="73" t="s">
        <v>24</v>
      </c>
      <c r="J30"/>
      <c r="K30"/>
      <c r="L30" s="32" t="s">
        <v>110</v>
      </c>
      <c r="M30" s="33"/>
      <c r="N30" s="33"/>
      <c r="O30" s="91">
        <v>45586</v>
      </c>
      <c r="P30" s="91"/>
      <c r="Q30" s="73" t="s">
        <v>24</v>
      </c>
      <c r="R30"/>
      <c r="S30" s="43"/>
      <c r="T30"/>
      <c r="U30" s="47" t="s">
        <v>17</v>
      </c>
      <c r="V30" s="47"/>
      <c r="W30" s="47" t="s">
        <v>18</v>
      </c>
      <c r="X30" s="47"/>
      <c r="Y30" s="47"/>
      <c r="Z30" s="47"/>
      <c r="AA30" s="47"/>
      <c r="AB30" s="40"/>
      <c r="AD30" s="40"/>
      <c r="AE30" s="38" t="s">
        <v>17</v>
      </c>
      <c r="AF30" s="38"/>
      <c r="AG30" s="38" t="s">
        <v>18</v>
      </c>
      <c r="AH30" s="38"/>
      <c r="AI30" s="38"/>
      <c r="AJ30" s="38"/>
      <c r="AK30" s="38"/>
      <c r="AL30" s="17"/>
    </row>
    <row r="31" spans="1:38" s="4" customFormat="1" ht="15" customHeight="1" x14ac:dyDescent="0.2">
      <c r="A31" s="47"/>
      <c r="B31"/>
      <c r="C31" s="29" t="s">
        <v>55</v>
      </c>
      <c r="D31" s="30"/>
      <c r="E31" s="30"/>
      <c r="F31" s="30"/>
      <c r="G31" s="95">
        <v>45556</v>
      </c>
      <c r="H31" s="96"/>
      <c r="I31" s="73" t="s">
        <v>24</v>
      </c>
      <c r="J31"/>
      <c r="K31"/>
      <c r="L31" s="29" t="s">
        <v>111</v>
      </c>
      <c r="M31" s="30"/>
      <c r="N31" s="30"/>
      <c r="O31" s="90">
        <v>45588</v>
      </c>
      <c r="P31" s="90"/>
      <c r="Q31" s="73" t="s">
        <v>24</v>
      </c>
      <c r="R31"/>
      <c r="S31" s="43"/>
      <c r="T31"/>
      <c r="U31" s="127"/>
      <c r="V31" s="47"/>
      <c r="W31" s="118"/>
      <c r="X31" s="119"/>
      <c r="Y31" s="119"/>
      <c r="Z31" s="119"/>
      <c r="AA31" s="120"/>
      <c r="AB31" s="70"/>
      <c r="AD31" s="40"/>
      <c r="AE31" s="127"/>
      <c r="AF31" s="38"/>
      <c r="AG31" s="118"/>
      <c r="AH31" s="119"/>
      <c r="AI31" s="119"/>
      <c r="AJ31" s="119"/>
      <c r="AK31" s="120"/>
      <c r="AL31" s="17"/>
    </row>
    <row r="32" spans="1:38" s="4" customFormat="1" ht="15" customHeight="1" x14ac:dyDescent="0.2">
      <c r="A32" s="47"/>
      <c r="B32"/>
      <c r="C32" s="32" t="s">
        <v>56</v>
      </c>
      <c r="D32" s="33"/>
      <c r="E32" s="33"/>
      <c r="F32" s="33"/>
      <c r="G32" s="93">
        <v>45557</v>
      </c>
      <c r="H32" s="94"/>
      <c r="I32" s="73" t="s">
        <v>24</v>
      </c>
      <c r="J32"/>
      <c r="K32"/>
      <c r="L32" s="32" t="s">
        <v>112</v>
      </c>
      <c r="M32" s="33"/>
      <c r="N32" s="33"/>
      <c r="O32" s="91">
        <v>45590</v>
      </c>
      <c r="P32" s="91"/>
      <c r="Q32" s="73" t="s">
        <v>24</v>
      </c>
      <c r="R32"/>
      <c r="S32" s="43"/>
      <c r="T32"/>
      <c r="U32" s="128"/>
      <c r="V32" s="47"/>
      <c r="W32" s="121"/>
      <c r="X32" s="122"/>
      <c r="Y32" s="122"/>
      <c r="Z32" s="122"/>
      <c r="AA32" s="123"/>
      <c r="AB32" s="70"/>
      <c r="AD32" s="40"/>
      <c r="AE32" s="128"/>
      <c r="AF32" s="38"/>
      <c r="AG32" s="121"/>
      <c r="AH32" s="122"/>
      <c r="AI32" s="122"/>
      <c r="AJ32" s="122"/>
      <c r="AK32" s="123"/>
      <c r="AL32" s="17"/>
    </row>
    <row r="33" spans="1:38" s="4" customFormat="1" ht="15" customHeight="1" x14ac:dyDescent="0.2">
      <c r="A33" s="47"/>
      <c r="B33"/>
      <c r="C33" s="29" t="s">
        <v>57</v>
      </c>
      <c r="D33" s="30"/>
      <c r="E33" s="30"/>
      <c r="F33" s="30"/>
      <c r="G33" s="95">
        <v>45558</v>
      </c>
      <c r="H33" s="96"/>
      <c r="I33" s="73" t="s">
        <v>24</v>
      </c>
      <c r="J33"/>
      <c r="K33"/>
      <c r="L33" s="29" t="s">
        <v>113</v>
      </c>
      <c r="M33" s="30"/>
      <c r="N33" s="30"/>
      <c r="O33" s="90">
        <v>45591</v>
      </c>
      <c r="P33" s="90"/>
      <c r="Q33" s="73" t="s">
        <v>24</v>
      </c>
      <c r="R33"/>
      <c r="S33" s="43"/>
      <c r="T33"/>
      <c r="U33" s="128"/>
      <c r="V33" s="47"/>
      <c r="W33" s="121"/>
      <c r="X33" s="122"/>
      <c r="Y33" s="122"/>
      <c r="Z33" s="122"/>
      <c r="AA33" s="123"/>
      <c r="AB33" s="70"/>
      <c r="AD33" s="40"/>
      <c r="AE33" s="128"/>
      <c r="AF33" s="38"/>
      <c r="AG33" s="121"/>
      <c r="AH33" s="122"/>
      <c r="AI33" s="122"/>
      <c r="AJ33" s="122"/>
      <c r="AK33" s="123"/>
      <c r="AL33" s="17"/>
    </row>
    <row r="34" spans="1:38" s="4" customFormat="1" ht="15" customHeight="1" x14ac:dyDescent="0.2">
      <c r="A34" s="47"/>
      <c r="B34"/>
      <c r="C34" s="32" t="s">
        <v>58</v>
      </c>
      <c r="D34" s="33"/>
      <c r="E34" s="33"/>
      <c r="F34" s="33"/>
      <c r="G34" s="93">
        <v>45558</v>
      </c>
      <c r="H34" s="94"/>
      <c r="I34" s="73" t="s">
        <v>24</v>
      </c>
      <c r="J34"/>
      <c r="K34"/>
      <c r="L34" s="32" t="s">
        <v>114</v>
      </c>
      <c r="M34" s="33"/>
      <c r="N34" s="33"/>
      <c r="O34" s="91">
        <v>45593</v>
      </c>
      <c r="P34" s="91"/>
      <c r="Q34" s="73" t="s">
        <v>24</v>
      </c>
      <c r="R34"/>
      <c r="S34" s="43"/>
      <c r="T34"/>
      <c r="U34" s="128"/>
      <c r="V34" s="47"/>
      <c r="W34" s="121"/>
      <c r="X34" s="122"/>
      <c r="Y34" s="122"/>
      <c r="Z34" s="122"/>
      <c r="AA34" s="123"/>
      <c r="AB34" s="70"/>
      <c r="AD34" s="40"/>
      <c r="AE34" s="128"/>
      <c r="AF34" s="38"/>
      <c r="AG34" s="121"/>
      <c r="AH34" s="122"/>
      <c r="AI34" s="122"/>
      <c r="AJ34" s="122"/>
      <c r="AK34" s="123"/>
      <c r="AL34" s="17"/>
    </row>
    <row r="35" spans="1:38" ht="15" customHeight="1" x14ac:dyDescent="0.2">
      <c r="C35" s="32" t="s">
        <v>59</v>
      </c>
      <c r="D35" s="33"/>
      <c r="E35" s="33"/>
      <c r="F35" s="33"/>
      <c r="G35" s="93">
        <v>45560</v>
      </c>
      <c r="H35" s="94"/>
      <c r="I35" s="73" t="s">
        <v>24</v>
      </c>
      <c r="L35" s="29" t="s">
        <v>115</v>
      </c>
      <c r="M35" s="30"/>
      <c r="N35" s="30"/>
      <c r="O35" s="89">
        <v>45594</v>
      </c>
      <c r="P35" s="89"/>
      <c r="Q35" s="73" t="s">
        <v>24</v>
      </c>
      <c r="U35" s="128"/>
      <c r="V35" s="47"/>
      <c r="W35" s="121"/>
      <c r="X35" s="122"/>
      <c r="Y35" s="122"/>
      <c r="Z35" s="122"/>
      <c r="AA35" s="123"/>
      <c r="AB35" s="70"/>
      <c r="AC35" s="4"/>
      <c r="AD35" s="40"/>
      <c r="AE35" s="128"/>
      <c r="AF35" s="38"/>
      <c r="AG35" s="121"/>
      <c r="AH35" s="122"/>
      <c r="AI35" s="122"/>
      <c r="AJ35" s="122"/>
      <c r="AK35" s="123"/>
    </row>
    <row r="36" spans="1:38" ht="22.5" x14ac:dyDescent="0.2">
      <c r="C36" s="35" t="s">
        <v>60</v>
      </c>
      <c r="D36" s="36"/>
      <c r="E36" s="36"/>
      <c r="F36" s="36"/>
      <c r="G36" s="95">
        <v>45560</v>
      </c>
      <c r="H36" s="95"/>
      <c r="I36" s="73" t="s">
        <v>24</v>
      </c>
      <c r="L36" s="29" t="s">
        <v>116</v>
      </c>
      <c r="M36" s="30"/>
      <c r="N36" s="30"/>
      <c r="O36" s="89">
        <v>45595</v>
      </c>
      <c r="P36" s="89"/>
      <c r="Q36" s="73"/>
      <c r="U36" s="128"/>
      <c r="V36" s="47"/>
      <c r="W36" s="121"/>
      <c r="X36" s="122"/>
      <c r="Y36" s="122"/>
      <c r="Z36" s="122"/>
      <c r="AA36" s="123"/>
      <c r="AB36" s="70"/>
      <c r="AC36" s="4"/>
      <c r="AD36" s="40"/>
      <c r="AE36" s="128"/>
      <c r="AF36" s="38"/>
      <c r="AG36" s="121"/>
      <c r="AH36" s="122"/>
      <c r="AI36" s="122"/>
      <c r="AJ36" s="122"/>
      <c r="AK36" s="123"/>
    </row>
    <row r="37" spans="1:38" x14ac:dyDescent="0.2">
      <c r="L37" s="29" t="s">
        <v>117</v>
      </c>
      <c r="M37" s="30"/>
      <c r="N37" s="30"/>
      <c r="O37" s="89">
        <v>45596</v>
      </c>
      <c r="P37" s="89"/>
      <c r="Q37" s="73"/>
      <c r="U37" s="129"/>
      <c r="V37" s="47"/>
      <c r="W37" s="124"/>
      <c r="X37" s="125"/>
      <c r="Y37" s="125"/>
      <c r="Z37" s="125"/>
      <c r="AA37" s="126"/>
      <c r="AB37" s="70"/>
      <c r="AC37" s="4"/>
      <c r="AD37" s="40"/>
      <c r="AE37" s="129"/>
      <c r="AF37" s="38"/>
      <c r="AG37" s="124"/>
      <c r="AH37" s="125"/>
      <c r="AI37" s="125"/>
      <c r="AJ37" s="125"/>
      <c r="AK37" s="126"/>
    </row>
    <row r="38" spans="1:38" x14ac:dyDescent="0.2">
      <c r="L38" s="29"/>
      <c r="M38" s="30"/>
      <c r="N38" s="30"/>
      <c r="O38" s="154"/>
      <c r="P38" s="154"/>
      <c r="Q38" s="73"/>
      <c r="U38" s="4"/>
      <c r="V38" s="4"/>
      <c r="W38" s="4"/>
      <c r="X38" s="4"/>
      <c r="Y38" s="4"/>
      <c r="Z38" s="4"/>
      <c r="AA38" s="4"/>
      <c r="AB38" s="40"/>
      <c r="AC38" s="4"/>
      <c r="AD38" s="40"/>
      <c r="AE38" s="4"/>
      <c r="AF38" s="4"/>
      <c r="AG38" s="4"/>
      <c r="AH38" s="4"/>
      <c r="AI38" s="4"/>
      <c r="AJ38" s="4"/>
      <c r="AK38" s="4"/>
    </row>
    <row r="39" spans="1:38" x14ac:dyDescent="0.2">
      <c r="L39" s="29"/>
      <c r="M39" s="30"/>
      <c r="N39" s="30"/>
      <c r="O39" s="154"/>
      <c r="P39" s="154"/>
      <c r="Q39" s="73"/>
      <c r="U39" s="61" t="s">
        <v>27</v>
      </c>
      <c r="V39" s="61"/>
      <c r="W39" s="61"/>
      <c r="X39" s="61"/>
      <c r="Y39" s="61"/>
      <c r="Z39" s="61"/>
      <c r="AA39" s="61"/>
      <c r="AB39" s="40"/>
      <c r="AC39" s="4"/>
      <c r="AD39" s="40"/>
      <c r="AE39" s="57" t="s">
        <v>27</v>
      </c>
      <c r="AF39" s="57"/>
      <c r="AG39" s="57"/>
      <c r="AH39" s="57"/>
      <c r="AI39" s="57"/>
      <c r="AJ39" s="57"/>
      <c r="AK39" s="57"/>
    </row>
    <row r="40" spans="1:38" ht="12" x14ac:dyDescent="0.2">
      <c r="L40" s="29"/>
      <c r="M40" s="30"/>
      <c r="N40" s="30"/>
      <c r="O40" s="154"/>
      <c r="P40" s="154"/>
      <c r="Q40" s="73"/>
      <c r="U40" s="55" t="s">
        <v>13</v>
      </c>
      <c r="V40" s="38"/>
      <c r="W40" s="38" t="s">
        <v>14</v>
      </c>
      <c r="X40" s="38"/>
      <c r="Y40" s="38"/>
      <c r="Z40" s="38"/>
      <c r="AA40" s="38"/>
      <c r="AB40" s="40"/>
      <c r="AC40" s="4"/>
      <c r="AD40" s="40"/>
      <c r="AE40" s="58" t="s">
        <v>13</v>
      </c>
      <c r="AF40" s="47"/>
      <c r="AG40" s="47" t="s">
        <v>14</v>
      </c>
      <c r="AH40" s="47"/>
      <c r="AI40" s="47"/>
      <c r="AJ40" s="47"/>
      <c r="AK40" s="47"/>
    </row>
    <row r="41" spans="1:38" x14ac:dyDescent="0.2">
      <c r="U41" s="115"/>
      <c r="V41" s="38"/>
      <c r="W41" s="118"/>
      <c r="X41" s="119"/>
      <c r="Y41" s="119"/>
      <c r="Z41" s="119"/>
      <c r="AA41" s="120"/>
      <c r="AB41" s="70"/>
      <c r="AC41" s="4"/>
      <c r="AD41" s="40"/>
      <c r="AE41" s="115"/>
      <c r="AF41" s="47"/>
      <c r="AG41" s="118"/>
      <c r="AH41" s="119"/>
      <c r="AI41" s="119"/>
      <c r="AJ41" s="119"/>
      <c r="AK41" s="120"/>
    </row>
    <row r="42" spans="1:38" x14ac:dyDescent="0.2">
      <c r="U42" s="116"/>
      <c r="V42" s="38"/>
      <c r="W42" s="121"/>
      <c r="X42" s="122"/>
      <c r="Y42" s="122"/>
      <c r="Z42" s="122"/>
      <c r="AA42" s="123"/>
      <c r="AB42" s="70"/>
      <c r="AC42" s="4"/>
      <c r="AD42" s="40"/>
      <c r="AE42" s="116"/>
      <c r="AF42" s="47"/>
      <c r="AG42" s="121"/>
      <c r="AH42" s="122"/>
      <c r="AI42" s="122"/>
      <c r="AJ42" s="122"/>
      <c r="AK42" s="123"/>
    </row>
    <row r="43" spans="1:38" x14ac:dyDescent="0.2">
      <c r="U43" s="116"/>
      <c r="V43" s="38"/>
      <c r="W43" s="121"/>
      <c r="X43" s="122"/>
      <c r="Y43" s="122"/>
      <c r="Z43" s="122"/>
      <c r="AA43" s="123"/>
      <c r="AB43" s="70"/>
      <c r="AC43" s="4"/>
      <c r="AD43" s="40"/>
      <c r="AE43" s="116"/>
      <c r="AF43" s="47"/>
      <c r="AG43" s="121"/>
      <c r="AH43" s="122"/>
      <c r="AI43" s="122"/>
      <c r="AJ43" s="122"/>
      <c r="AK43" s="123"/>
    </row>
    <row r="44" spans="1:38" x14ac:dyDescent="0.2">
      <c r="U44" s="116"/>
      <c r="V44" s="38"/>
      <c r="W44" s="121"/>
      <c r="X44" s="122"/>
      <c r="Y44" s="122"/>
      <c r="Z44" s="122"/>
      <c r="AA44" s="123"/>
      <c r="AB44" s="70"/>
      <c r="AC44" s="4"/>
      <c r="AD44" s="40"/>
      <c r="AE44" s="116"/>
      <c r="AF44" s="47"/>
      <c r="AG44" s="121"/>
      <c r="AH44" s="122"/>
      <c r="AI44" s="122"/>
      <c r="AJ44" s="122"/>
      <c r="AK44" s="123"/>
    </row>
    <row r="45" spans="1:38" x14ac:dyDescent="0.2">
      <c r="U45" s="117"/>
      <c r="V45" s="38"/>
      <c r="W45" s="124"/>
      <c r="X45" s="125"/>
      <c r="Y45" s="125"/>
      <c r="Z45" s="125"/>
      <c r="AA45" s="126"/>
      <c r="AB45" s="70"/>
      <c r="AC45" s="4"/>
      <c r="AD45" s="40"/>
      <c r="AE45" s="117"/>
      <c r="AF45" s="47"/>
      <c r="AG45" s="124"/>
      <c r="AH45" s="125"/>
      <c r="AI45" s="125"/>
      <c r="AJ45" s="125"/>
      <c r="AK45" s="126"/>
    </row>
    <row r="46" spans="1:38" x14ac:dyDescent="0.2">
      <c r="U46" s="56"/>
      <c r="V46" s="38"/>
      <c r="W46" s="38"/>
      <c r="X46" s="38"/>
      <c r="Y46" s="38"/>
      <c r="Z46" s="38"/>
      <c r="AA46" s="38"/>
      <c r="AB46" s="40"/>
      <c r="AC46" s="4"/>
      <c r="AD46" s="40"/>
      <c r="AE46" s="59"/>
      <c r="AF46" s="47"/>
      <c r="AG46" s="47"/>
      <c r="AH46" s="47"/>
      <c r="AI46" s="47"/>
      <c r="AJ46" s="47"/>
      <c r="AK46" s="47"/>
    </row>
    <row r="47" spans="1:38" x14ac:dyDescent="0.2">
      <c r="U47" s="38" t="s">
        <v>17</v>
      </c>
      <c r="V47" s="38"/>
      <c r="W47" s="38" t="s">
        <v>18</v>
      </c>
      <c r="X47" s="38"/>
      <c r="Y47" s="38"/>
      <c r="Z47" s="38"/>
      <c r="AA47" s="38"/>
      <c r="AB47" s="40"/>
      <c r="AC47" s="4"/>
      <c r="AD47" s="40"/>
      <c r="AE47" s="47" t="s">
        <v>17</v>
      </c>
      <c r="AF47" s="47"/>
      <c r="AG47" s="47" t="s">
        <v>18</v>
      </c>
      <c r="AH47" s="47"/>
      <c r="AI47" s="47"/>
      <c r="AJ47" s="47"/>
      <c r="AK47" s="47"/>
    </row>
    <row r="48" spans="1:38" x14ac:dyDescent="0.2">
      <c r="U48" s="127"/>
      <c r="V48" s="38"/>
      <c r="W48" s="118"/>
      <c r="X48" s="119"/>
      <c r="Y48" s="119"/>
      <c r="Z48" s="119"/>
      <c r="AA48" s="120"/>
      <c r="AB48" s="70"/>
      <c r="AC48" s="4"/>
      <c r="AD48" s="40"/>
      <c r="AE48" s="127"/>
      <c r="AF48" s="47"/>
      <c r="AG48" s="118"/>
      <c r="AH48" s="119"/>
      <c r="AI48" s="119"/>
      <c r="AJ48" s="119"/>
      <c r="AK48" s="120"/>
    </row>
    <row r="49" spans="21:37" x14ac:dyDescent="0.2">
      <c r="U49" s="128"/>
      <c r="V49" s="38"/>
      <c r="W49" s="121"/>
      <c r="X49" s="122"/>
      <c r="Y49" s="122"/>
      <c r="Z49" s="122"/>
      <c r="AA49" s="123"/>
      <c r="AB49" s="70"/>
      <c r="AC49" s="4"/>
      <c r="AD49" s="40"/>
      <c r="AE49" s="128"/>
      <c r="AF49" s="47"/>
      <c r="AG49" s="121"/>
      <c r="AH49" s="122"/>
      <c r="AI49" s="122"/>
      <c r="AJ49" s="122"/>
      <c r="AK49" s="123"/>
    </row>
    <row r="50" spans="21:37" x14ac:dyDescent="0.2">
      <c r="U50" s="128"/>
      <c r="V50" s="38"/>
      <c r="W50" s="121"/>
      <c r="X50" s="122"/>
      <c r="Y50" s="122"/>
      <c r="Z50" s="122"/>
      <c r="AA50" s="123"/>
      <c r="AB50" s="70"/>
      <c r="AC50" s="4"/>
      <c r="AD50" s="40"/>
      <c r="AE50" s="128"/>
      <c r="AF50" s="47"/>
      <c r="AG50" s="121"/>
      <c r="AH50" s="122"/>
      <c r="AI50" s="122"/>
      <c r="AJ50" s="122"/>
      <c r="AK50" s="123"/>
    </row>
    <row r="51" spans="21:37" x14ac:dyDescent="0.2">
      <c r="U51" s="128"/>
      <c r="V51" s="38"/>
      <c r="W51" s="121"/>
      <c r="X51" s="122"/>
      <c r="Y51" s="122"/>
      <c r="Z51" s="122"/>
      <c r="AA51" s="123"/>
      <c r="AB51" s="70"/>
      <c r="AC51" s="4"/>
      <c r="AD51" s="40"/>
      <c r="AE51" s="128"/>
      <c r="AF51" s="47"/>
      <c r="AG51" s="121"/>
      <c r="AH51" s="122"/>
      <c r="AI51" s="122"/>
      <c r="AJ51" s="122"/>
      <c r="AK51" s="123"/>
    </row>
    <row r="52" spans="21:37" x14ac:dyDescent="0.2">
      <c r="U52" s="128"/>
      <c r="V52" s="38"/>
      <c r="W52" s="121"/>
      <c r="X52" s="122"/>
      <c r="Y52" s="122"/>
      <c r="Z52" s="122"/>
      <c r="AA52" s="123"/>
      <c r="AB52" s="70"/>
      <c r="AC52" s="4"/>
      <c r="AD52" s="40"/>
      <c r="AE52" s="128"/>
      <c r="AF52" s="47"/>
      <c r="AG52" s="121"/>
      <c r="AH52" s="122"/>
      <c r="AI52" s="122"/>
      <c r="AJ52" s="122"/>
      <c r="AK52" s="123"/>
    </row>
    <row r="53" spans="21:37" x14ac:dyDescent="0.2">
      <c r="U53" s="128"/>
      <c r="V53" s="38"/>
      <c r="W53" s="121"/>
      <c r="X53" s="122"/>
      <c r="Y53" s="122"/>
      <c r="Z53" s="122"/>
      <c r="AA53" s="123"/>
      <c r="AB53" s="70"/>
      <c r="AC53" s="4"/>
      <c r="AD53" s="40"/>
      <c r="AE53" s="128"/>
      <c r="AF53" s="47"/>
      <c r="AG53" s="121"/>
      <c r="AH53" s="122"/>
      <c r="AI53" s="122"/>
      <c r="AJ53" s="122"/>
      <c r="AK53" s="123"/>
    </row>
    <row r="54" spans="21:37" x14ac:dyDescent="0.2">
      <c r="U54" s="129"/>
      <c r="V54" s="38"/>
      <c r="W54" s="124"/>
      <c r="X54" s="125"/>
      <c r="Y54" s="125"/>
      <c r="Z54" s="125"/>
      <c r="AA54" s="126"/>
      <c r="AB54" s="70"/>
      <c r="AC54" s="4"/>
      <c r="AD54" s="40"/>
      <c r="AE54" s="129"/>
      <c r="AF54" s="47"/>
      <c r="AG54" s="124"/>
      <c r="AH54" s="125"/>
      <c r="AI54" s="125"/>
      <c r="AJ54" s="125"/>
      <c r="AK54" s="126"/>
    </row>
    <row r="55" spans="21:37" x14ac:dyDescent="0.2">
      <c r="U55" s="38"/>
      <c r="V55" s="38"/>
      <c r="W55" s="38"/>
      <c r="X55" s="38"/>
      <c r="Y55" s="38"/>
      <c r="Z55" s="38"/>
      <c r="AA55" s="38"/>
      <c r="AB55" s="40"/>
      <c r="AC55" s="4"/>
      <c r="AD55" s="40"/>
      <c r="AE55" s="47"/>
      <c r="AF55" s="47"/>
      <c r="AG55" s="47"/>
      <c r="AH55" s="47"/>
      <c r="AI55" s="47"/>
      <c r="AJ55" s="47"/>
      <c r="AK55" s="47"/>
    </row>
    <row r="73" spans="21:21" x14ac:dyDescent="0.2">
      <c r="U73" s="4"/>
    </row>
  </sheetData>
  <mergeCells count="34">
    <mergeCell ref="B1:R1"/>
    <mergeCell ref="T1:AN1"/>
    <mergeCell ref="U7:U11"/>
    <mergeCell ref="W7:AA11"/>
    <mergeCell ref="AE7:AE11"/>
    <mergeCell ref="AG7:AK11"/>
    <mergeCell ref="B2:J2"/>
    <mergeCell ref="C4:I4"/>
    <mergeCell ref="K4:Q4"/>
    <mergeCell ref="C13:I13"/>
    <mergeCell ref="K13:Q13"/>
    <mergeCell ref="AE14:AE20"/>
    <mergeCell ref="AG14:AK20"/>
    <mergeCell ref="AE24:AE28"/>
    <mergeCell ref="AG24:AK28"/>
    <mergeCell ref="W14:AA20"/>
    <mergeCell ref="U24:U28"/>
    <mergeCell ref="W24:AA28"/>
    <mergeCell ref="U14:U20"/>
    <mergeCell ref="AE48:AE54"/>
    <mergeCell ref="AG48:AK54"/>
    <mergeCell ref="AE31:AE37"/>
    <mergeCell ref="AG31:AK37"/>
    <mergeCell ref="U48:U54"/>
    <mergeCell ref="W48:AA54"/>
    <mergeCell ref="U31:U37"/>
    <mergeCell ref="W31:AA37"/>
    <mergeCell ref="U41:U45"/>
    <mergeCell ref="W41:AA45"/>
    <mergeCell ref="O38:P38"/>
    <mergeCell ref="O39:P39"/>
    <mergeCell ref="O40:P40"/>
    <mergeCell ref="AE41:AE45"/>
    <mergeCell ref="AG41:AK45"/>
  </mergeCells>
  <dataValidations count="1">
    <dataValidation allowBlank="1" showInputMessage="1" showErrorMessage="1" errorTitle="Ano Inválido" error="Insira um ano de 1900 a 9999 ou use a barra de rolagem para encontrar um ano." sqref="B1"/>
  </dataValidations>
  <hyperlinks>
    <hyperlink ref="AE3" r:id="rId1"/>
  </hyperlinks>
  <printOptions horizontalCentered="1" verticalCentered="1"/>
  <pageMargins left="0.5" right="0.5" top="0.5" bottom="0.5" header="0.3" footer="0.3"/>
  <pageSetup paperSize="9" scale="72" orientation="portrait" verticalDpi="4294967295" r:id="rId2"/>
  <headerFooter>
    <oddHeader>&amp;L&amp;"Calibri"&amp;12&amp;K0000FF Uso Interno&amp;1#_x000D_</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 r:id="rId5" name="Controle Giratório">
              <controlPr defaultSize="0" print="0" autoPict="0" altText="Use os botões de controle giratório para alterar o ano do calendário ou inserir o ano na célula C1">
                <anchor moveWithCells="1">
                  <from>
                    <xdr:col>1</xdr:col>
                    <xdr:colOff>114300</xdr:colOff>
                    <xdr:row>0</xdr:row>
                    <xdr:rowOff>38100</xdr:rowOff>
                  </from>
                  <to>
                    <xdr:col>1</xdr:col>
                    <xdr:colOff>266700</xdr:colOff>
                    <xdr:row>0</xdr:row>
                    <xdr:rowOff>342900</xdr:rowOff>
                  </to>
                </anchor>
              </controlPr>
            </control>
          </mc:Choice>
        </mc:AlternateContent>
      </controls>
    </mc:Choice>
  </mc:AlternateContent>
  <tableParts count="2">
    <tablePart r:id="rId6"/>
    <tablePart r:id="rId7"/>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6"/>
  <sheetViews>
    <sheetView showGridLines="0" zoomScaleNormal="100" workbookViewId="0">
      <pane xSplit="1" topLeftCell="B1" activePane="topRight" state="frozen"/>
      <selection activeCell="B1" sqref="B1:R1"/>
      <selection pane="topRight" activeCell="Y3" sqref="Y3:AE3"/>
    </sheetView>
  </sheetViews>
  <sheetFormatPr defaultColWidth="9.5" defaultRowHeight="11.25" x14ac:dyDescent="0.2"/>
  <cols>
    <col min="1" max="1" width="1.33203125" style="47" customWidth="1"/>
    <col min="2" max="2" width="5.1640625" customWidth="1"/>
    <col min="3" max="3" width="6.83203125" customWidth="1"/>
    <col min="4" max="4" width="7.6640625" customWidth="1"/>
    <col min="5" max="5" width="6.5" customWidth="1"/>
    <col min="6" max="6" width="7.33203125" customWidth="1"/>
    <col min="7" max="7" width="6.83203125" customWidth="1"/>
    <col min="8" max="8" width="6" customWidth="1"/>
    <col min="9" max="9" width="6.5" customWidth="1"/>
    <col min="10" max="10" width="8.33203125" customWidth="1"/>
    <col min="11" max="11" width="8.1640625" customWidth="1"/>
    <col min="12" max="12" width="7.83203125" customWidth="1"/>
    <col min="13" max="17" width="6.5" customWidth="1"/>
    <col min="18" max="18" width="7.5" customWidth="1"/>
    <col min="19" max="19" width="1.5" style="43" customWidth="1"/>
    <col min="20" max="20" width="1.6640625" style="17" customWidth="1"/>
    <col min="21" max="21" width="55.5" customWidth="1"/>
    <col min="22" max="22" width="2.83203125" customWidth="1"/>
    <col min="23" max="23" width="13.5" customWidth="1"/>
    <col min="24" max="24" width="2.83203125" customWidth="1"/>
    <col min="25" max="26" width="9.33203125" customWidth="1"/>
    <col min="27" max="27" width="18.33203125" customWidth="1"/>
    <col min="28" max="28" width="2.33203125" style="17" customWidth="1"/>
    <col min="29" max="29" width="2.6640625" customWidth="1"/>
    <col min="30" max="30" width="1.33203125" style="17" customWidth="1"/>
    <col min="31" max="31" width="42.1640625" customWidth="1"/>
    <col min="32" max="32" width="7.83203125" customWidth="1"/>
    <col min="33" max="36" width="9.33203125" customWidth="1"/>
    <col min="37" max="37" width="14.83203125" customWidth="1"/>
    <col min="38" max="38" width="2.33203125" style="17" customWidth="1"/>
    <col min="39" max="44" width="9.33203125" customWidth="1"/>
    <col min="45" max="45" width="9.5" customWidth="1"/>
  </cols>
  <sheetData>
    <row r="1" spans="1:38" ht="72.75" customHeight="1" x14ac:dyDescent="0.2">
      <c r="A1" s="45"/>
      <c r="B1" s="37"/>
      <c r="C1" s="168">
        <v>2024</v>
      </c>
      <c r="D1" s="168"/>
      <c r="E1" s="168"/>
      <c r="F1" s="168"/>
      <c r="G1" s="168"/>
      <c r="H1" s="168"/>
      <c r="I1" s="168"/>
      <c r="J1" s="168"/>
      <c r="K1" s="168"/>
      <c r="L1" s="168"/>
      <c r="M1" s="168"/>
      <c r="N1" s="168"/>
      <c r="O1" s="168"/>
      <c r="P1" s="168"/>
      <c r="Q1" s="38"/>
      <c r="R1" s="38"/>
      <c r="S1" s="37"/>
      <c r="T1" s="37"/>
      <c r="U1" s="166" t="s">
        <v>0</v>
      </c>
      <c r="V1" s="167"/>
      <c r="W1" s="167"/>
      <c r="X1" s="167"/>
      <c r="Y1" s="167"/>
      <c r="Z1" s="167"/>
      <c r="AA1" s="167"/>
      <c r="AB1" s="167"/>
      <c r="AC1" s="167"/>
      <c r="AD1" s="167"/>
      <c r="AE1" s="167"/>
      <c r="AF1" s="167"/>
      <c r="AG1" s="167"/>
      <c r="AH1" s="167"/>
      <c r="AI1" s="167"/>
      <c r="AJ1" s="167"/>
      <c r="AK1" s="167"/>
    </row>
    <row r="2" spans="1:38" ht="15" customHeight="1" x14ac:dyDescent="0.2">
      <c r="A2" s="46"/>
      <c r="B2" s="161" t="s">
        <v>1</v>
      </c>
      <c r="C2" s="161"/>
      <c r="D2" s="161"/>
      <c r="E2" s="161"/>
      <c r="F2" s="161"/>
      <c r="G2" s="161"/>
      <c r="H2" s="161"/>
      <c r="I2" s="161"/>
      <c r="J2" s="161"/>
    </row>
    <row r="3" spans="1:38" ht="15" customHeight="1" x14ac:dyDescent="0.25">
      <c r="A3" s="46"/>
      <c r="J3" s="5"/>
      <c r="U3" s="51" t="s">
        <v>61</v>
      </c>
      <c r="V3" s="162"/>
      <c r="W3" s="162"/>
      <c r="Y3" s="106" t="s">
        <v>159</v>
      </c>
      <c r="AE3" s="105" t="s">
        <v>160</v>
      </c>
    </row>
    <row r="4" spans="1:38" ht="15" customHeight="1" x14ac:dyDescent="0.25">
      <c r="A4" s="46"/>
      <c r="B4" s="53"/>
      <c r="C4" s="163" t="s">
        <v>62</v>
      </c>
      <c r="D4" s="163"/>
      <c r="E4" s="163"/>
      <c r="F4" s="163"/>
      <c r="G4" s="163"/>
      <c r="H4" s="163"/>
      <c r="I4" s="163"/>
      <c r="J4" s="54"/>
      <c r="K4" s="163" t="s">
        <v>63</v>
      </c>
      <c r="L4" s="163"/>
      <c r="M4" s="163"/>
      <c r="N4" s="163"/>
      <c r="O4" s="163"/>
      <c r="P4" s="163"/>
      <c r="Q4" s="163"/>
      <c r="U4" s="51" t="s">
        <v>64</v>
      </c>
      <c r="V4" s="162"/>
      <c r="W4" s="162"/>
    </row>
    <row r="5" spans="1:38" ht="15" customHeight="1" x14ac:dyDescent="0.2">
      <c r="A5" s="46"/>
      <c r="C5" s="3" t="s">
        <v>6</v>
      </c>
      <c r="D5" s="3" t="s">
        <v>7</v>
      </c>
      <c r="E5" s="3" t="s">
        <v>8</v>
      </c>
      <c r="F5" s="3" t="s">
        <v>9</v>
      </c>
      <c r="G5" s="3" t="s">
        <v>10</v>
      </c>
      <c r="H5" s="3" t="s">
        <v>11</v>
      </c>
      <c r="I5" s="3" t="s">
        <v>12</v>
      </c>
      <c r="J5" s="5"/>
      <c r="K5" s="3" t="s">
        <v>6</v>
      </c>
      <c r="L5" s="3" t="s">
        <v>7</v>
      </c>
      <c r="M5" s="3" t="s">
        <v>8</v>
      </c>
      <c r="N5" s="3" t="s">
        <v>9</v>
      </c>
      <c r="O5" s="3" t="s">
        <v>10</v>
      </c>
      <c r="P5" s="3" t="s">
        <v>11</v>
      </c>
      <c r="Q5" s="3" t="s">
        <v>12</v>
      </c>
      <c r="U5" s="52"/>
    </row>
    <row r="6" spans="1:38" ht="15" customHeight="1" x14ac:dyDescent="0.2">
      <c r="A6" s="46"/>
      <c r="C6" s="7" t="str">
        <f>IF(DAY(NovDom1)=1,"",IF(AND(YEAR(NovDom1+1)=AnoDoCalendário,MONTH(NovDom1+1)=11),NovDom1+1,""))</f>
        <v/>
      </c>
      <c r="D6" s="7" t="str">
        <f>IF(DAY(NovDom1)=1,"",IF(AND(YEAR(NovDom1+2)=AnoDoCalendário,MONTH(NovDom1+2)=11),NovDom1+2,""))</f>
        <v/>
      </c>
      <c r="E6" s="7" t="str">
        <f>IF(DAY(NovDom1)=1,"",IF(AND(YEAR(NovDom1+3)=AnoDoCalendário,MONTH(NovDom1+3)=11),NovDom1+3,""))</f>
        <v/>
      </c>
      <c r="F6" s="44" t="str">
        <f>IF(DAY(NovDom1)=1,"",IF(AND(YEAR(NovDom1+4)=AnoDoCalendário,MONTH(NovDom1+4)=11),NovDom1+4,""))</f>
        <v/>
      </c>
      <c r="G6" s="50" t="str">
        <f>IF(DAY(NovDom1)=1,"",IF(AND(YEAR(NovDom1+5)=AnoDoCalendário,MONTH(NovDom1+5)=11),NovDom1+5,""))</f>
        <v/>
      </c>
      <c r="H6" s="7">
        <f>IF(DAY(NovDom1)=1,"",IF(AND(YEAR(NovDom1+6)=AnoDoCalendário,MONTH(NovDom1+6)=11),NovDom1+6,""))</f>
        <v>45597</v>
      </c>
      <c r="I6" s="44">
        <f>IF(DAY(NovDom1)=1,IF(AND(YEAR(NovDom1)=AnoDoCalendário,MONTH(NovDom1)=11),NovDom1,""),IF(AND(YEAR(NovDom1+7)=AnoDoCalendário,MONTH(NovDom1+7)=11),NovDom1+7,""))</f>
        <v>45598</v>
      </c>
      <c r="J6" s="5"/>
      <c r="K6" s="7">
        <f>IF(DAY(DezDom1)=1,"",IF(AND(YEAR(DezDom1+1)=AnoDoCalendário,MONTH(DezDom1+1)=12),DezDom1+1,""))</f>
        <v>45627</v>
      </c>
      <c r="L6" s="7">
        <f>IF(DAY(DezDom1)=1,"",IF(AND(YEAR(DezDom1+2)=AnoDoCalendário,MONTH(DezDom1+2)=12),DezDom1+2,""))</f>
        <v>45628</v>
      </c>
      <c r="M6" s="7">
        <f>IF(DAY(DezDom1)=1,"",IF(AND(YEAR(DezDom1+3)=AnoDoCalendário,MONTH(DezDom1+3)=12),DezDom1+3,""))</f>
        <v>45629</v>
      </c>
      <c r="N6" s="7">
        <f>IF(DAY(DezDom1)=1,"",IF(AND(YEAR(DezDom1+4)=AnoDoCalendário,MONTH(DezDom1+4)=12),DezDom1+4,""))</f>
        <v>45630</v>
      </c>
      <c r="O6" s="7">
        <f>IF(DAY(DezDom1)=1,"",IF(AND(YEAR(DezDom1+5)=AnoDoCalendário,MONTH(DezDom1+5)=12),DezDom1+5,""))</f>
        <v>45631</v>
      </c>
      <c r="P6" s="7">
        <f>IF(DAY(DezDom1)=1,"",IF(AND(YEAR(DezDom1+6)=AnoDoCalendário,MONTH(DezDom1+6)=12),DezDom1+6,""))</f>
        <v>45632</v>
      </c>
      <c r="Q6" s="44">
        <f>IF(DAY(DezDom1)=1,IF(AND(YEAR(DezDom1)=AnoDoCalendário,MONTH(DezDom1)=12),DezDom1,""),IF(AND(YEAR(DezDom1+7)=AnoDoCalendário,MONTH(DezDom1+7)=12),DezDom1+7,""))</f>
        <v>45633</v>
      </c>
      <c r="U6" s="11" t="s">
        <v>13</v>
      </c>
      <c r="W6" s="13" t="s">
        <v>14</v>
      </c>
      <c r="X6" s="13"/>
      <c r="Y6" s="13"/>
      <c r="Z6" s="13"/>
      <c r="AA6" s="13"/>
      <c r="AB6" s="66"/>
      <c r="AE6" s="55" t="s">
        <v>13</v>
      </c>
      <c r="AF6" s="38"/>
      <c r="AG6" s="38" t="s">
        <v>14</v>
      </c>
      <c r="AH6" s="38"/>
      <c r="AI6" s="38"/>
      <c r="AJ6" s="38"/>
      <c r="AK6" s="38"/>
      <c r="AL6" s="40"/>
    </row>
    <row r="7" spans="1:38" ht="15" customHeight="1" x14ac:dyDescent="0.2">
      <c r="A7" s="46"/>
      <c r="C7" s="44">
        <f>IF(DAY(NovDom1)=1,IF(AND(YEAR(NovDom1+1)=AnoDoCalendário,MONTH(NovDom1+1)=11),NovDom1+1,""),IF(AND(YEAR(NovDom1+8)=AnoDoCalendário,MONTH(NovDom1+8)=11),NovDom1+8,""))</f>
        <v>45599</v>
      </c>
      <c r="D7" s="44">
        <f>IF(DAY(NovDom1)=1,IF(AND(YEAR(NovDom1+2)=AnoDoCalendário,MONTH(NovDom1+2)=11),NovDom1+2,""),IF(AND(YEAR(NovDom1+9)=AnoDoCalendário,MONTH(NovDom1+9)=11),NovDom1+9,""))</f>
        <v>45600</v>
      </c>
      <c r="E7" s="7">
        <f>IF(DAY(NovDom1)=1,IF(AND(YEAR(NovDom1+3)=AnoDoCalendário,MONTH(NovDom1+3)=11),NovDom1+3,""),IF(AND(YEAR(NovDom1+10)=AnoDoCalendário,MONTH(NovDom1+10)=11),NovDom1+10,""))</f>
        <v>45601</v>
      </c>
      <c r="F7" s="7">
        <f>IF(DAY(NovDom1)=1,IF(AND(YEAR(NovDom1+4)=AnoDoCalendário,MONTH(NovDom1+4)=11),NovDom1+4,""),IF(AND(YEAR(NovDom1+11)=AnoDoCalendário,MONTH(NovDom1+11)=11),NovDom1+11,""))</f>
        <v>45602</v>
      </c>
      <c r="G7" s="44">
        <f>IF(DAY(NovDom1)=1,IF(AND(YEAR(NovDom1+5)=AnoDoCalendário,MONTH(NovDom1+5)=11),NovDom1+5,""),IF(AND(YEAR(NovDom1+12)=AnoDoCalendário,MONTH(NovDom1+12)=11),NovDom1+12,""))</f>
        <v>45603</v>
      </c>
      <c r="H7" s="44">
        <f>IF(DAY(NovDom1)=1,IF(AND(YEAR(NovDom1+6)=AnoDoCalendário,MONTH(NovDom1+6)=11),NovDom1+6,""),IF(AND(YEAR(NovDom1+13)=AnoDoCalendário,MONTH(NovDom1+13)=11),NovDom1+13,""))</f>
        <v>45604</v>
      </c>
      <c r="I7" s="7">
        <f>IF(DAY(NovDom1)=1,IF(AND(YEAR(NovDom1+7)=AnoDoCalendário,MONTH(NovDom1+7)=11),NovDom1+7,""),IF(AND(YEAR(NovDom1+14)=AnoDoCalendário,MONTH(NovDom1+14)=11),NovDom1+14,""))</f>
        <v>45605</v>
      </c>
      <c r="J7" s="5"/>
      <c r="K7" s="44">
        <f>IF(DAY(DezDom1)=1,IF(AND(YEAR(DezDom1+1)=AnoDoCalendário,MONTH(DezDom1+1)=12),DezDom1+1,""),IF(AND(YEAR(DezDom1+8)=AnoDoCalendário,MONTH(DezDom1+8)=12),DezDom1+8,""))</f>
        <v>45634</v>
      </c>
      <c r="L7" s="44">
        <f>IF(DAY(DezDom1)=1,IF(AND(YEAR(DezDom1+2)=AnoDoCalendário,MONTH(DezDom1+2)=12),DezDom1+2,""),IF(AND(YEAR(DezDom1+9)=AnoDoCalendário,MONTH(DezDom1+9)=12),DezDom1+9,""))</f>
        <v>45635</v>
      </c>
      <c r="M7" s="44">
        <f>IF(DAY(DezDom1)=1,IF(AND(YEAR(DezDom1+3)=AnoDoCalendário,MONTH(DezDom1+3)=12),DezDom1+3,""),IF(AND(YEAR(DezDom1+10)=AnoDoCalendário,MONTH(DezDom1+10)=12),DezDom1+10,""))</f>
        <v>45636</v>
      </c>
      <c r="N7" s="7">
        <f>IF(DAY(DezDom1)=1,IF(AND(YEAR(DezDom1+4)=AnoDoCalendário,MONTH(DezDom1+4)=12),DezDom1+4,""),IF(AND(YEAR(DezDom1+11)=AnoDoCalendário,MONTH(DezDom1+11)=12),DezDom1+11,""))</f>
        <v>45637</v>
      </c>
      <c r="O7" s="7">
        <f>IF(DAY(DezDom1)=1,IF(AND(YEAR(DezDom1+5)=AnoDoCalendário,MONTH(DezDom1+5)=12),DezDom1+5,""),IF(AND(YEAR(DezDom1+12)=AnoDoCalendário,MONTH(DezDom1+12)=12),DezDom1+12,""))</f>
        <v>45638</v>
      </c>
      <c r="P7" s="7">
        <f>IF(DAY(DezDom1)=1,IF(AND(YEAR(DezDom1+6)=AnoDoCalendário,MONTH(DezDom1+6)=12),DezDom1+6,""),IF(AND(YEAR(DezDom1+13)=AnoDoCalendário,MONTH(DezDom1+13)=12),DezDom1+13,""))</f>
        <v>45639</v>
      </c>
      <c r="Q7" s="7">
        <f>IF(DAY(DezDom1)=1,IF(AND(YEAR(DezDom1+7)=AnoDoCalendário,MONTH(DezDom1+7)=12),DezDom1+7,""),IF(AND(YEAR(DezDom1+14)=AnoDoCalendário,MONTH(DezDom1+14)=12),DezDom1+14,""))</f>
        <v>45640</v>
      </c>
      <c r="U7" s="141" t="s">
        <v>65</v>
      </c>
      <c r="W7" s="171" t="s">
        <v>16</v>
      </c>
      <c r="X7" s="179"/>
      <c r="Y7" s="179"/>
      <c r="Z7" s="179"/>
      <c r="AA7" s="180"/>
      <c r="AB7" s="25"/>
      <c r="AE7" s="115"/>
      <c r="AF7" s="38"/>
      <c r="AG7" s="118"/>
      <c r="AH7" s="119"/>
      <c r="AI7" s="119"/>
      <c r="AJ7" s="119"/>
      <c r="AK7" s="120"/>
      <c r="AL7" s="40"/>
    </row>
    <row r="8" spans="1:38" ht="15" customHeight="1" x14ac:dyDescent="0.2">
      <c r="C8" s="44">
        <f>IF(DAY(NovDom1)=1,IF(AND(YEAR(NovDom1+8)=AnoDoCalendário,MONTH(NovDom1+8)=11),NovDom1+8,""),IF(AND(YEAR(NovDom1+15)=AnoDoCalendário,MONTH(NovDom1+15)=11),NovDom1+15,""))</f>
        <v>45606</v>
      </c>
      <c r="D8" s="7">
        <f>IF(DAY(NovDom1)=1,IF(AND(YEAR(NovDom1+9)=AnoDoCalendário,MONTH(NovDom1+9)=11),NovDom1+9,""),IF(AND(YEAR(NovDom1+16)=AnoDoCalendário,MONTH(NovDom1+16)=11),NovDom1+16,""))</f>
        <v>45607</v>
      </c>
      <c r="E8" s="44">
        <f>IF(DAY(NovDom1)=1,IF(AND(YEAR(NovDom1+10)=AnoDoCalendário,MONTH(NovDom1+10)=11),NovDom1+10,""),IF(AND(YEAR(NovDom1+17)=AnoDoCalendário,MONTH(NovDom1+17)=11),NovDom1+17,""))</f>
        <v>45608</v>
      </c>
      <c r="F8" s="44">
        <f>IF(DAY(NovDom1)=1,IF(AND(YEAR(NovDom1+11)=AnoDoCalendário,MONTH(NovDom1+11)=11),NovDom1+11,""),IF(AND(YEAR(NovDom1+18)=AnoDoCalendário,MONTH(NovDom1+18)=11),NovDom1+18,""))</f>
        <v>45609</v>
      </c>
      <c r="G8" s="7">
        <f>IF(DAY(NovDom1)=1,IF(AND(YEAR(NovDom1+12)=AnoDoCalendário,MONTH(NovDom1+12)=11),NovDom1+12,""),IF(AND(YEAR(NovDom1+19)=AnoDoCalendário,MONTH(NovDom1+19)=11),NovDom1+19,""))</f>
        <v>45610</v>
      </c>
      <c r="H8" s="44">
        <f>IF(DAY(NovDom1)=1,IF(AND(YEAR(NovDom1+13)=AnoDoCalendário,MONTH(NovDom1+13)=11),NovDom1+13,""),IF(AND(YEAR(NovDom1+20)=AnoDoCalendário,MONTH(NovDom1+20)=11),NovDom1+20,""))</f>
        <v>45611</v>
      </c>
      <c r="I8" s="7">
        <f>IF(DAY(NovDom1)=1,IF(AND(YEAR(NovDom1+14)=AnoDoCalendário,MONTH(NovDom1+14)=11),NovDom1+14,""),IF(AND(YEAR(NovDom1+21)=AnoDoCalendário,MONTH(NovDom1+21)=11),NovDom1+21,""))</f>
        <v>45612</v>
      </c>
      <c r="J8" s="5"/>
      <c r="K8" s="7">
        <f>IF(DAY(DezDom1)=1,IF(AND(YEAR(DezDom1+8)=AnoDoCalendário,MONTH(DezDom1+8)=12),DezDom1+8,""),IF(AND(YEAR(DezDom1+15)=AnoDoCalendário,MONTH(DezDom1+15)=12),DezDom1+15,""))</f>
        <v>45641</v>
      </c>
      <c r="L8" s="7">
        <f>IF(DAY(DezDom1)=1,IF(AND(YEAR(DezDom1+9)=AnoDoCalendário,MONTH(DezDom1+9)=12),DezDom1+9,""),IF(AND(YEAR(DezDom1+16)=AnoDoCalendário,MONTH(DezDom1+16)=12),DezDom1+16,""))</f>
        <v>45642</v>
      </c>
      <c r="M8" s="7">
        <f>IF(DAY(DezDom1)=1,IF(AND(YEAR(DezDom1+10)=AnoDoCalendário,MONTH(DezDom1+10)=12),DezDom1+10,""),IF(AND(YEAR(DezDom1+17)=AnoDoCalendário,MONTH(DezDom1+17)=12),DezDom1+17,""))</f>
        <v>45643</v>
      </c>
      <c r="N8" s="44">
        <f>IF(DAY(DezDom1)=1,IF(AND(YEAR(DezDom1+11)=AnoDoCalendário,MONTH(DezDom1+11)=12),DezDom1+11,""),IF(AND(YEAR(DezDom1+18)=AnoDoCalendário,MONTH(DezDom1+18)=12),DezDom1+18,""))</f>
        <v>45644</v>
      </c>
      <c r="O8" s="7">
        <f>IF(DAY(DezDom1)=1,IF(AND(YEAR(DezDom1+12)=AnoDoCalendário,MONTH(DezDom1+12)=12),DezDom1+12,""),IF(AND(YEAR(DezDom1+19)=AnoDoCalendário,MONTH(DezDom1+19)=12),DezDom1+19,""))</f>
        <v>45645</v>
      </c>
      <c r="P8" s="44">
        <f>IF(DAY(DezDom1)=1,IF(AND(YEAR(DezDom1+13)=AnoDoCalendário,MONTH(DezDom1+13)=12),DezDom1+13,""),IF(AND(YEAR(DezDom1+20)=AnoDoCalendário,MONTH(DezDom1+20)=12),DezDom1+20,""))</f>
        <v>45646</v>
      </c>
      <c r="Q8" s="7">
        <f>IF(DAY(DezDom1)=1,IF(AND(YEAR(DezDom1+14)=AnoDoCalendário,MONTH(DezDom1+14)=12),DezDom1+14,""),IF(AND(YEAR(DezDom1+21)=AnoDoCalendário,MONTH(DezDom1+21)=12),DezDom1+21,""))</f>
        <v>45647</v>
      </c>
      <c r="U8" s="169"/>
      <c r="W8" s="181"/>
      <c r="X8" s="182"/>
      <c r="Y8" s="182"/>
      <c r="Z8" s="182"/>
      <c r="AA8" s="183"/>
      <c r="AB8" s="25"/>
      <c r="AE8" s="116"/>
      <c r="AF8" s="38"/>
      <c r="AG8" s="121"/>
      <c r="AH8" s="122"/>
      <c r="AI8" s="122"/>
      <c r="AJ8" s="122"/>
      <c r="AK8" s="123"/>
      <c r="AL8" s="40"/>
    </row>
    <row r="9" spans="1:38" ht="15" customHeight="1" x14ac:dyDescent="0.2">
      <c r="C9" s="44">
        <f>IF(DAY(NovDom1)=1,IF(AND(YEAR(NovDom1+15)=AnoDoCalendário,MONTH(NovDom1+15)=11),NovDom1+15,""),IF(AND(YEAR(NovDom1+22)=AnoDoCalendário,MONTH(NovDom1+22)=11),NovDom1+22,""))</f>
        <v>45613</v>
      </c>
      <c r="D9" s="44">
        <f>IF(DAY(NovDom1)=1,IF(AND(YEAR(NovDom1+16)=AnoDoCalendário,MONTH(NovDom1+16)=11),NovDom1+16,""),IF(AND(YEAR(NovDom1+23)=AnoDoCalendário,MONTH(NovDom1+23)=11),NovDom1+23,""))</f>
        <v>45614</v>
      </c>
      <c r="E9" s="7">
        <f>IF(DAY(NovDom1)=1,IF(AND(YEAR(NovDom1+17)=AnoDoCalendário,MONTH(NovDom1+17)=11),NovDom1+17,""),IF(AND(YEAR(NovDom1+24)=AnoDoCalendário,MONTH(NovDom1+24)=11),NovDom1+24,""))</f>
        <v>45615</v>
      </c>
      <c r="F9" s="44">
        <f>IF(DAY(NovDom1)=1,IF(AND(YEAR(NovDom1+18)=AnoDoCalendário,MONTH(NovDom1+18)=11),NovDom1+18,""),IF(AND(YEAR(NovDom1+25)=AnoDoCalendário,MONTH(NovDom1+25)=11),NovDom1+25,""))</f>
        <v>45616</v>
      </c>
      <c r="G9" s="7">
        <f>IF(DAY(NovDom1)=1,IF(AND(YEAR(NovDom1+19)=AnoDoCalendário,MONTH(NovDom1+19)=11),NovDom1+19,""),IF(AND(YEAR(NovDom1+26)=AnoDoCalendário,MONTH(NovDom1+26)=11),NovDom1+26,""))</f>
        <v>45617</v>
      </c>
      <c r="H9" s="44">
        <f>IF(DAY(NovDom1)=1,IF(AND(YEAR(NovDom1+20)=AnoDoCalendário,MONTH(NovDom1+20)=11),NovDom1+20,""),IF(AND(YEAR(NovDom1+27)=AnoDoCalendário,MONTH(NovDom1+27)=11),NovDom1+27,""))</f>
        <v>45618</v>
      </c>
      <c r="I9" s="44">
        <f>IF(DAY(NovDom1)=1,IF(AND(YEAR(NovDom1+21)=AnoDoCalendário,MONTH(NovDom1+21)=11),NovDom1+21,""),IF(AND(YEAR(NovDom1+28)=AnoDoCalendário,MONTH(NovDom1+28)=11),NovDom1+28,""))</f>
        <v>45619</v>
      </c>
      <c r="J9" s="5"/>
      <c r="K9" s="7">
        <f>IF(DAY(DezDom1)=1,IF(AND(YEAR(DezDom1+15)=AnoDoCalendário,MONTH(DezDom1+15)=12),DezDom1+15,""),IF(AND(YEAR(DezDom1+22)=AnoDoCalendário,MONTH(DezDom1+22)=12),DezDom1+22,""))</f>
        <v>45648</v>
      </c>
      <c r="L9" s="7">
        <f>IF(DAY(DezDom1)=1,IF(AND(YEAR(DezDom1+16)=AnoDoCalendário,MONTH(DezDom1+16)=12),DezDom1+16,""),IF(AND(YEAR(DezDom1+23)=AnoDoCalendário,MONTH(DezDom1+23)=12),DezDom1+23,""))</f>
        <v>45649</v>
      </c>
      <c r="M9" s="7">
        <f>IF(DAY(DezDom1)=1,IF(AND(YEAR(DezDom1+17)=AnoDoCalendário,MONTH(DezDom1+17)=12),DezDom1+17,""),IF(AND(YEAR(DezDom1+24)=AnoDoCalendário,MONTH(DezDom1+24)=12),DezDom1+24,""))</f>
        <v>45650</v>
      </c>
      <c r="N9" s="7">
        <f>IF(DAY(DezDom1)=1,IF(AND(YEAR(DezDom1+18)=AnoDoCalendário,MONTH(DezDom1+18)=12),DezDom1+18,""),IF(AND(YEAR(DezDom1+25)=AnoDoCalendário,MONTH(DezDom1+25)=12),DezDom1+25,""))</f>
        <v>45651</v>
      </c>
      <c r="O9" s="44">
        <f>IF(DAY(DezDom1)=1,IF(AND(YEAR(DezDom1+19)=AnoDoCalendário,MONTH(DezDom1+19)=12),DezDom1+19,""),IF(AND(YEAR(DezDom1+26)=AnoDoCalendário,MONTH(DezDom1+26)=12),DezDom1+26,""))</f>
        <v>45652</v>
      </c>
      <c r="P9" s="7">
        <f>IF(DAY(DezDom1)=1,IF(AND(YEAR(DezDom1+20)=AnoDoCalendário,MONTH(DezDom1+20)=12),DezDom1+20,""),IF(AND(YEAR(DezDom1+27)=AnoDoCalendário,MONTH(DezDom1+27)=12),DezDom1+27,""))</f>
        <v>45653</v>
      </c>
      <c r="Q9" s="7">
        <f>IF(DAY(DezDom1)=1,IF(AND(YEAR(DezDom1+21)=AnoDoCalendário,MONTH(DezDom1+21)=12),DezDom1+21,""),IF(AND(YEAR(DezDom1+28)=AnoDoCalendário,MONTH(DezDom1+28)=12),DezDom1+28,""))</f>
        <v>45654</v>
      </c>
      <c r="U9" s="169"/>
      <c r="W9" s="181"/>
      <c r="X9" s="182"/>
      <c r="Y9" s="182"/>
      <c r="Z9" s="182"/>
      <c r="AA9" s="183"/>
      <c r="AB9" s="25"/>
      <c r="AE9" s="116"/>
      <c r="AF9" s="38"/>
      <c r="AG9" s="121"/>
      <c r="AH9" s="122"/>
      <c r="AI9" s="122"/>
      <c r="AJ9" s="122"/>
      <c r="AK9" s="123"/>
      <c r="AL9" s="40"/>
    </row>
    <row r="10" spans="1:38" ht="15" customHeight="1" x14ac:dyDescent="0.2">
      <c r="C10" s="7">
        <f>IF(DAY(NovDom1)=1,IF(AND(YEAR(NovDom1+22)=AnoDoCalendário,MONTH(NovDom1+22)=11),NovDom1+22,""),IF(AND(YEAR(NovDom1+29)=AnoDoCalendário,MONTH(NovDom1+29)=11),NovDom1+29,""))</f>
        <v>45620</v>
      </c>
      <c r="D10" s="44">
        <f>IF(DAY(NovDom1)=1,IF(AND(YEAR(NovDom1+23)=AnoDoCalendário,MONTH(NovDom1+23)=11),NovDom1+23,""),IF(AND(YEAR(NovDom1+30)=AnoDoCalendário,MONTH(NovDom1+30)=11),NovDom1+30,""))</f>
        <v>45621</v>
      </c>
      <c r="E10" s="7">
        <f>IF(DAY(NovDom1)=1,IF(AND(YEAR(NovDom1+24)=AnoDoCalendário,MONTH(NovDom1+24)=11),NovDom1+24,""),IF(AND(YEAR(NovDom1+31)=AnoDoCalendário,MONTH(NovDom1+31)=11),NovDom1+31,""))</f>
        <v>45622</v>
      </c>
      <c r="F10" s="7">
        <f>IF(DAY(NovDom1)=1,IF(AND(YEAR(NovDom1+25)=AnoDoCalendário,MONTH(NovDom1+25)=11),NovDom1+25,""),IF(AND(YEAR(NovDom1+32)=AnoDoCalendário,MONTH(NovDom1+32)=11),NovDom1+32,""))</f>
        <v>45623</v>
      </c>
      <c r="G10" s="7">
        <f>IF(DAY(NovDom1)=1,IF(AND(YEAR(NovDom1+26)=AnoDoCalendário,MONTH(NovDom1+26)=11),NovDom1+26,""),IF(AND(YEAR(NovDom1+33)=AnoDoCalendário,MONTH(NovDom1+33)=11),NovDom1+33,""))</f>
        <v>45624</v>
      </c>
      <c r="H10" s="7">
        <f>IF(DAY(NovDom1)=1,IF(AND(YEAR(NovDom1+27)=AnoDoCalendário,MONTH(NovDom1+27)=11),NovDom1+27,""),IF(AND(YEAR(NovDom1+34)=AnoDoCalendário,MONTH(NovDom1+34)=11),NovDom1+34,""))</f>
        <v>45625</v>
      </c>
      <c r="I10" s="7">
        <f>IF(DAY(NovDom1)=1,IF(AND(YEAR(NovDom1+28)=AnoDoCalendário,MONTH(NovDom1+28)=11),NovDom1+28,""),IF(AND(YEAR(NovDom1+35)=AnoDoCalendário,MONTH(NovDom1+35)=11),NovDom1+35,""))</f>
        <v>45626</v>
      </c>
      <c r="J10" s="5"/>
      <c r="K10" s="7">
        <f>IF(DAY(DezDom1)=1,IF(AND(YEAR(DezDom1+22)=AnoDoCalendário,MONTH(DezDom1+22)=12),DezDom1+22,""),IF(AND(YEAR(DezDom1+29)=AnoDoCalendário,MONTH(DezDom1+29)=12),DezDom1+29,""))</f>
        <v>45655</v>
      </c>
      <c r="L10" s="44">
        <f>IF(DAY(DezDom1)=1,IF(AND(YEAR(DezDom1+23)=AnoDoCalendário,MONTH(DezDom1+23)=12),DezDom1+23,""),IF(AND(YEAR(DezDom1+30)=AnoDoCalendário,MONTH(DezDom1+30)=12),DezDom1+30,""))</f>
        <v>45656</v>
      </c>
      <c r="M10" s="7">
        <f>IF(DAY(DezDom1)=1,IF(AND(YEAR(DezDom1+24)=AnoDoCalendário,MONTH(DezDom1+24)=12),DezDom1+24,""),IF(AND(YEAR(DezDom1+31)=AnoDoCalendário,MONTH(DezDom1+31)=12),DezDom1+31,""))</f>
        <v>45657</v>
      </c>
      <c r="N10" s="7" t="str">
        <f>IF(DAY(DezDom1)=1,IF(AND(YEAR(DezDom1+25)=AnoDoCalendário,MONTH(DezDom1+25)=12),DezDom1+25,""),IF(AND(YEAR(DezDom1+32)=AnoDoCalendário,MONTH(DezDom1+32)=12),DezDom1+32,""))</f>
        <v/>
      </c>
      <c r="O10" s="7" t="str">
        <f>IF(DAY(DezDom1)=1,IF(AND(YEAR(DezDom1+26)=AnoDoCalendário,MONTH(DezDom1+26)=12),DezDom1+26,""),IF(AND(YEAR(DezDom1+33)=AnoDoCalendário,MONTH(DezDom1+33)=12),DezDom1+33,""))</f>
        <v/>
      </c>
      <c r="P10" s="7" t="str">
        <f>IF(DAY(DezDom1)=1,IF(AND(YEAR(DezDom1+27)=AnoDoCalendário,MONTH(DezDom1+27)=12),DezDom1+27,""),IF(AND(YEAR(DezDom1+34)=AnoDoCalendário,MONTH(DezDom1+34)=12),DezDom1+34,""))</f>
        <v/>
      </c>
      <c r="Q10" s="7" t="str">
        <f>IF(DAY(DezDom1)=1,IF(AND(YEAR(DezDom1+28)=AnoDoCalendário,MONTH(DezDom1+28)=12),DezDom1+28,""),IF(AND(YEAR(DezDom1+35)=AnoDoCalendário,MONTH(DezDom1+35)=12),DezDom1+35,""))</f>
        <v/>
      </c>
      <c r="U10" s="169"/>
      <c r="W10" s="181"/>
      <c r="X10" s="182"/>
      <c r="Y10" s="182"/>
      <c r="Z10" s="182"/>
      <c r="AA10" s="183"/>
      <c r="AB10" s="25"/>
      <c r="AE10" s="116"/>
      <c r="AF10" s="38"/>
      <c r="AG10" s="121"/>
      <c r="AH10" s="122"/>
      <c r="AI10" s="122"/>
      <c r="AJ10" s="122"/>
      <c r="AK10" s="123"/>
      <c r="AL10" s="40"/>
    </row>
    <row r="11" spans="1:38" ht="15" customHeight="1" x14ac:dyDescent="0.2">
      <c r="C11" s="7" t="str">
        <f>IF(DAY(NovDom1)=1,IF(AND(YEAR(NovDom1+29)=AnoDoCalendário,MONTH(NovDom1+29)=11),NovDom1+29,""),IF(AND(YEAR(NovDom1+36)=AnoDoCalendário,MONTH(NovDom1+36)=11),NovDom1+36,""))</f>
        <v/>
      </c>
      <c r="D11" s="7" t="str">
        <f>IF(DAY(NovDom1)=1,IF(AND(YEAR(NovDom1+30)=AnoDoCalendário,MONTH(NovDom1+30)=11),NovDom1+30,""),IF(AND(YEAR(NovDom1+37)=AnoDoCalendário,MONTH(NovDom1+37)=11),NovDom1+37,""))</f>
        <v/>
      </c>
      <c r="E11" s="7" t="str">
        <f>IF(DAY(NovDom1)=1,IF(AND(YEAR(NovDom1+31)=AnoDoCalendário,MONTH(NovDom1+31)=11),NovDom1+31,""),IF(AND(YEAR(NovDom1+38)=AnoDoCalendário,MONTH(NovDom1+38)=11),NovDom1+38,""))</f>
        <v/>
      </c>
      <c r="F11" s="7" t="str">
        <f>IF(DAY(NovDom1)=1,IF(AND(YEAR(NovDom1+32)=AnoDoCalendário,MONTH(NovDom1+32)=11),NovDom1+32,""),IF(AND(YEAR(NovDom1+39)=AnoDoCalendário,MONTH(NovDom1+39)=11),NovDom1+39,""))</f>
        <v/>
      </c>
      <c r="G11" s="7" t="str">
        <f>IF(DAY(NovDom1)=1,IF(AND(YEAR(NovDom1+33)=AnoDoCalendário,MONTH(NovDom1+33)=11),NovDom1+33,""),IF(AND(YEAR(NovDom1+40)=AnoDoCalendário,MONTH(NovDom1+40)=11),NovDom1+40,""))</f>
        <v/>
      </c>
      <c r="H11" s="7" t="str">
        <f>IF(DAY(NovDom1)=1,IF(AND(YEAR(NovDom1+34)=AnoDoCalendário,MONTH(NovDom1+34)=11),NovDom1+34,""),IF(AND(YEAR(NovDom1+41)=AnoDoCalendário,MONTH(NovDom1+41)=11),NovDom1+41,""))</f>
        <v/>
      </c>
      <c r="I11" s="7" t="str">
        <f>IF(DAY(NovDom1)=1,IF(AND(YEAR(NovDom1+35)=AnoDoCalendário,MONTH(NovDom1+35)=11),NovDom1+35,""),IF(AND(YEAR(NovDom1+42)=AnoDoCalendário,MONTH(NovDom1+42)=11),NovDom1+42,""))</f>
        <v/>
      </c>
      <c r="J11" s="5"/>
      <c r="K11" s="7" t="str">
        <f>IF(DAY(DezDom1)=1,IF(AND(YEAR(DezDom1+29)=AnoDoCalendário,MONTH(DezDom1+29)=12),DezDom1+29,""),IF(AND(YEAR(DezDom1+36)=AnoDoCalendário,MONTH(DezDom1+36)=12),DezDom1+36,""))</f>
        <v/>
      </c>
      <c r="L11" s="7" t="str">
        <f>IF(DAY(DezDom1)=1,IF(AND(YEAR(DezDom1+30)=AnoDoCalendário,MONTH(DezDom1+30)=12),DezDom1+30,""),IF(AND(YEAR(DezDom1+37)=AnoDoCalendário,MONTH(DezDom1+37)=12),DezDom1+37,""))</f>
        <v/>
      </c>
      <c r="M11" s="7" t="str">
        <f>IF(DAY(DezDom1)=1,IF(AND(YEAR(DezDom1+31)=AnoDoCalendário,MONTH(DezDom1+31)=12),DezDom1+31,""),IF(AND(YEAR(DezDom1+38)=AnoDoCalendário,MONTH(DezDom1+38)=12),DezDom1+38,""))</f>
        <v/>
      </c>
      <c r="N11" s="7" t="str">
        <f>IF(DAY(DezDom1)=1,IF(AND(YEAR(DezDom1+32)=AnoDoCalendário,MONTH(DezDom1+32)=12),DezDom1+32,""),IF(AND(YEAR(DezDom1+39)=AnoDoCalendário,MONTH(DezDom1+39)=12),DezDom1+39,""))</f>
        <v/>
      </c>
      <c r="O11" s="7" t="str">
        <f>IF(DAY(DezDom1)=1,IF(AND(YEAR(DezDom1+33)=AnoDoCalendário,MONTH(DezDom1+33)=12),DezDom1+33,""),IF(AND(YEAR(DezDom1+40)=AnoDoCalendário,MONTH(DezDom1+40)=12),DezDom1+40,""))</f>
        <v/>
      </c>
      <c r="P11" s="7" t="str">
        <f>IF(DAY(DezDom1)=1,IF(AND(YEAR(DezDom1+34)=AnoDoCalendário,MONTH(DezDom1+34)=12),DezDom1+34,""),IF(AND(YEAR(DezDom1+41)=AnoDoCalendário,MONTH(DezDom1+41)=12),DezDom1+41,""))</f>
        <v/>
      </c>
      <c r="Q11" s="7" t="str">
        <f>IF(DAY(DezDom1)=1,IF(AND(YEAR(DezDom1+35)=AnoDoCalendário,MONTH(DezDom1+35)=12),DezDom1+35,""),IF(AND(YEAR(DezDom1+42)=AnoDoCalendário,MONTH(DezDom1+42)=12),DezDom1+42,""))</f>
        <v/>
      </c>
      <c r="U11" s="170"/>
      <c r="W11" s="184"/>
      <c r="X11" s="185"/>
      <c r="Y11" s="185"/>
      <c r="Z11" s="185"/>
      <c r="AA11" s="186"/>
      <c r="AB11" s="25"/>
      <c r="AE11" s="117"/>
      <c r="AF11" s="38"/>
      <c r="AG11" s="124"/>
      <c r="AH11" s="125"/>
      <c r="AI11" s="125"/>
      <c r="AJ11" s="125"/>
      <c r="AK11" s="126"/>
      <c r="AL11" s="40"/>
    </row>
    <row r="12" spans="1:38" ht="15" customHeight="1" x14ac:dyDescent="0.2">
      <c r="B12" s="15"/>
      <c r="C12" s="16"/>
      <c r="D12" s="16"/>
      <c r="E12" s="16"/>
      <c r="F12" s="16"/>
      <c r="G12" s="16"/>
      <c r="H12" s="16"/>
      <c r="I12" s="16"/>
      <c r="J12" s="15"/>
      <c r="K12" s="15"/>
      <c r="L12" s="15"/>
      <c r="M12" s="15"/>
      <c r="N12" s="15"/>
      <c r="O12" s="15"/>
      <c r="P12" s="15"/>
      <c r="Q12" s="15"/>
      <c r="R12" s="22"/>
      <c r="U12" s="1"/>
      <c r="AE12" s="56"/>
      <c r="AF12" s="38"/>
      <c r="AG12" s="38"/>
      <c r="AH12" s="38"/>
      <c r="AI12" s="38"/>
      <c r="AJ12" s="38"/>
      <c r="AK12" s="38"/>
      <c r="AL12" s="40"/>
    </row>
    <row r="13" spans="1:38" ht="15" customHeight="1" x14ac:dyDescent="0.25">
      <c r="B13" s="5"/>
      <c r="D13" s="19"/>
      <c r="K13" s="21"/>
      <c r="L13" s="21"/>
      <c r="U13" s="12" t="s">
        <v>17</v>
      </c>
      <c r="W13" s="12" t="s">
        <v>18</v>
      </c>
      <c r="X13" s="12"/>
      <c r="Y13" s="12"/>
      <c r="Z13" s="12"/>
      <c r="AA13" s="12"/>
      <c r="AB13" s="18"/>
      <c r="AE13" s="38" t="s">
        <v>17</v>
      </c>
      <c r="AF13" s="38"/>
      <c r="AG13" s="38" t="s">
        <v>18</v>
      </c>
      <c r="AH13" s="38"/>
      <c r="AI13" s="38"/>
      <c r="AJ13" s="38"/>
      <c r="AK13" s="38"/>
      <c r="AL13" s="40"/>
    </row>
    <row r="14" spans="1:38" ht="16.5" customHeight="1" x14ac:dyDescent="0.2">
      <c r="B14" s="159"/>
      <c r="C14" s="26" t="s">
        <v>20</v>
      </c>
      <c r="D14" s="26"/>
      <c r="E14" s="80"/>
      <c r="F14" s="80"/>
      <c r="G14" s="80"/>
      <c r="H14" s="27" t="s">
        <v>19</v>
      </c>
      <c r="I14" s="27"/>
      <c r="J14" s="28" t="s">
        <v>21</v>
      </c>
      <c r="L14" s="26" t="s">
        <v>20</v>
      </c>
      <c r="M14" s="80"/>
      <c r="N14" s="27"/>
      <c r="O14" s="27" t="s">
        <v>19</v>
      </c>
      <c r="P14" s="27"/>
      <c r="Q14" s="28" t="s">
        <v>21</v>
      </c>
      <c r="U14" s="151" t="s">
        <v>22</v>
      </c>
      <c r="W14" s="171" t="s">
        <v>66</v>
      </c>
      <c r="X14" s="172"/>
      <c r="Y14" s="172"/>
      <c r="Z14" s="172"/>
      <c r="AA14" s="173"/>
      <c r="AB14" s="25"/>
      <c r="AE14" s="127"/>
      <c r="AF14" s="38"/>
      <c r="AG14" s="118"/>
      <c r="AH14" s="119"/>
      <c r="AI14" s="119"/>
      <c r="AJ14" s="119"/>
      <c r="AK14" s="120"/>
      <c r="AL14" s="40"/>
    </row>
    <row r="15" spans="1:38" ht="16.5" customHeight="1" x14ac:dyDescent="0.2">
      <c r="B15" s="160"/>
      <c r="C15" s="29" t="s">
        <v>67</v>
      </c>
      <c r="D15" s="84"/>
      <c r="E15" s="35"/>
      <c r="F15" s="35"/>
      <c r="G15" s="35"/>
      <c r="H15" s="165">
        <v>45231</v>
      </c>
      <c r="I15" s="165"/>
      <c r="J15" s="73" t="s">
        <v>24</v>
      </c>
      <c r="L15" s="32" t="s">
        <v>68</v>
      </c>
      <c r="M15" s="86"/>
      <c r="N15" s="32"/>
      <c r="O15" s="164">
        <v>45262</v>
      </c>
      <c r="P15" s="164"/>
      <c r="Q15" s="73" t="s">
        <v>24</v>
      </c>
      <c r="U15" s="152"/>
      <c r="W15" s="174"/>
      <c r="X15" s="146"/>
      <c r="Y15" s="146"/>
      <c r="Z15" s="146"/>
      <c r="AA15" s="175"/>
      <c r="AB15" s="25"/>
      <c r="AE15" s="128"/>
      <c r="AF15" s="38"/>
      <c r="AG15" s="121"/>
      <c r="AH15" s="122"/>
      <c r="AI15" s="122"/>
      <c r="AJ15" s="122"/>
      <c r="AK15" s="123"/>
      <c r="AL15" s="40"/>
    </row>
    <row r="16" spans="1:38" ht="16.5" customHeight="1" x14ac:dyDescent="0.2">
      <c r="B16" s="160"/>
      <c r="C16" s="32" t="s">
        <v>69</v>
      </c>
      <c r="H16" s="164">
        <v>45232</v>
      </c>
      <c r="I16" s="164"/>
      <c r="J16" s="73" t="s">
        <v>24</v>
      </c>
      <c r="L16" s="29" t="s">
        <v>70</v>
      </c>
      <c r="M16" s="29"/>
      <c r="N16" s="29"/>
      <c r="O16" s="165">
        <v>45262</v>
      </c>
      <c r="P16" s="165"/>
      <c r="Q16" s="73" t="s">
        <v>24</v>
      </c>
      <c r="U16" s="152"/>
      <c r="W16" s="174"/>
      <c r="X16" s="146"/>
      <c r="Y16" s="146"/>
      <c r="Z16" s="146"/>
      <c r="AA16" s="175"/>
      <c r="AB16" s="25"/>
      <c r="AE16" s="128"/>
      <c r="AF16" s="38"/>
      <c r="AG16" s="121"/>
      <c r="AH16" s="122"/>
      <c r="AI16" s="122"/>
      <c r="AJ16" s="122"/>
      <c r="AK16" s="123"/>
      <c r="AL16" s="40"/>
    </row>
    <row r="17" spans="1:45" ht="16.5" customHeight="1" x14ac:dyDescent="0.2">
      <c r="B17" s="160"/>
      <c r="C17" s="29" t="s">
        <v>71</v>
      </c>
      <c r="D17" s="85"/>
      <c r="E17" s="35"/>
      <c r="F17" s="35"/>
      <c r="G17" s="35"/>
      <c r="H17" s="165">
        <v>45234</v>
      </c>
      <c r="I17" s="165"/>
      <c r="J17" s="73" t="s">
        <v>24</v>
      </c>
      <c r="L17" s="32" t="s">
        <v>72</v>
      </c>
      <c r="M17" s="32"/>
      <c r="N17" s="32"/>
      <c r="O17" s="164">
        <v>45263</v>
      </c>
      <c r="P17" s="164"/>
      <c r="Q17" s="73" t="s">
        <v>24</v>
      </c>
      <c r="U17" s="152"/>
      <c r="W17" s="174"/>
      <c r="X17" s="146"/>
      <c r="Y17" s="146"/>
      <c r="Z17" s="146"/>
      <c r="AA17" s="175"/>
      <c r="AB17" s="25"/>
      <c r="AE17" s="128"/>
      <c r="AF17" s="38"/>
      <c r="AG17" s="121"/>
      <c r="AH17" s="122"/>
      <c r="AI17" s="122"/>
      <c r="AJ17" s="122"/>
      <c r="AK17" s="123"/>
      <c r="AL17" s="40"/>
    </row>
    <row r="18" spans="1:45" ht="16.5" customHeight="1" x14ac:dyDescent="0.2">
      <c r="B18" s="160"/>
      <c r="C18" s="32" t="s">
        <v>73</v>
      </c>
      <c r="D18" s="32"/>
      <c r="H18" s="164">
        <v>45235</v>
      </c>
      <c r="I18" s="164"/>
      <c r="J18" s="73" t="s">
        <v>24</v>
      </c>
      <c r="L18" s="29" t="s">
        <v>74</v>
      </c>
      <c r="M18" s="29"/>
      <c r="N18" s="84"/>
      <c r="O18" s="165">
        <v>45264</v>
      </c>
      <c r="P18" s="165"/>
      <c r="Q18" s="73" t="s">
        <v>24</v>
      </c>
      <c r="U18" s="152"/>
      <c r="W18" s="174"/>
      <c r="X18" s="146"/>
      <c r="Y18" s="146"/>
      <c r="Z18" s="146"/>
      <c r="AA18" s="175"/>
      <c r="AB18" s="25"/>
      <c r="AE18" s="128"/>
      <c r="AF18" s="38"/>
      <c r="AG18" s="121"/>
      <c r="AH18" s="122"/>
      <c r="AI18" s="122"/>
      <c r="AJ18" s="122"/>
      <c r="AK18" s="123"/>
      <c r="AL18" s="40"/>
    </row>
    <row r="19" spans="1:45" ht="16.5" customHeight="1" x14ac:dyDescent="0.2">
      <c r="C19" s="29" t="s">
        <v>75</v>
      </c>
      <c r="D19" s="29"/>
      <c r="E19" s="35"/>
      <c r="F19" s="35"/>
      <c r="G19" s="35"/>
      <c r="H19" s="165">
        <v>45235</v>
      </c>
      <c r="I19" s="165"/>
      <c r="J19" s="73" t="s">
        <v>24</v>
      </c>
      <c r="L19" s="32" t="s">
        <v>76</v>
      </c>
      <c r="M19" s="32"/>
      <c r="N19" s="88"/>
      <c r="O19" s="164">
        <v>45265</v>
      </c>
      <c r="P19" s="164"/>
      <c r="Q19" s="73" t="s">
        <v>24</v>
      </c>
      <c r="U19" s="152"/>
      <c r="W19" s="174"/>
      <c r="X19" s="146"/>
      <c r="Y19" s="146"/>
      <c r="Z19" s="146"/>
      <c r="AA19" s="175"/>
      <c r="AB19" s="25"/>
      <c r="AE19" s="128"/>
      <c r="AF19" s="38"/>
      <c r="AG19" s="121"/>
      <c r="AH19" s="122"/>
      <c r="AI19" s="122"/>
      <c r="AJ19" s="122"/>
      <c r="AK19" s="123"/>
      <c r="AL19" s="40"/>
    </row>
    <row r="20" spans="1:45" ht="16.5" customHeight="1" x14ac:dyDescent="0.2">
      <c r="C20" s="32" t="s">
        <v>77</v>
      </c>
      <c r="D20" s="32"/>
      <c r="H20" s="164">
        <v>45236</v>
      </c>
      <c r="I20" s="164"/>
      <c r="J20" s="73" t="s">
        <v>24</v>
      </c>
      <c r="L20" s="29" t="s">
        <v>78</v>
      </c>
      <c r="M20" s="29"/>
      <c r="N20" s="87"/>
      <c r="O20" s="165">
        <v>45273</v>
      </c>
      <c r="P20" s="165"/>
      <c r="Q20" s="73" t="s">
        <v>24</v>
      </c>
      <c r="U20" s="153"/>
      <c r="W20" s="176"/>
      <c r="X20" s="177"/>
      <c r="Y20" s="177"/>
      <c r="Z20" s="177"/>
      <c r="AA20" s="178"/>
      <c r="AB20" s="25"/>
      <c r="AE20" s="129"/>
      <c r="AF20" s="38"/>
      <c r="AG20" s="124"/>
      <c r="AH20" s="125"/>
      <c r="AI20" s="125"/>
      <c r="AJ20" s="125"/>
      <c r="AK20" s="126"/>
      <c r="AL20" s="40"/>
    </row>
    <row r="21" spans="1:45" s="4" customFormat="1" ht="16.5" customHeight="1" x14ac:dyDescent="0.2">
      <c r="A21" s="47"/>
      <c r="B21"/>
      <c r="C21" s="29" t="s">
        <v>79</v>
      </c>
      <c r="D21" s="29"/>
      <c r="E21" s="35"/>
      <c r="F21" s="35"/>
      <c r="G21" s="35"/>
      <c r="H21" s="165">
        <v>45239</v>
      </c>
      <c r="I21" s="165"/>
      <c r="J21" s="73" t="s">
        <v>24</v>
      </c>
      <c r="K21"/>
      <c r="L21" s="32" t="s">
        <v>80</v>
      </c>
      <c r="M21" s="32"/>
      <c r="N21" s="88"/>
      <c r="O21" s="164">
        <v>45275</v>
      </c>
      <c r="P21" s="164"/>
      <c r="Q21" s="73" t="s">
        <v>24</v>
      </c>
      <c r="R21"/>
      <c r="S21" s="43"/>
      <c r="T21" s="17"/>
      <c r="U21" s="8"/>
      <c r="V21" s="8"/>
      <c r="W21" s="8"/>
      <c r="X21" s="8"/>
      <c r="Y21" s="8"/>
      <c r="Z21" s="8"/>
      <c r="AA21" s="8"/>
      <c r="AB21" s="17"/>
      <c r="AC21"/>
      <c r="AD21" s="17"/>
      <c r="AE21" s="60"/>
      <c r="AF21" s="60"/>
      <c r="AG21" s="60"/>
      <c r="AH21" s="60"/>
      <c r="AI21" s="60"/>
      <c r="AJ21" s="60"/>
      <c r="AK21" s="60"/>
      <c r="AL21" s="40"/>
      <c r="AM21"/>
      <c r="AN21"/>
      <c r="AO21"/>
      <c r="AP21"/>
      <c r="AQ21"/>
      <c r="AR21"/>
      <c r="AS21"/>
    </row>
    <row r="22" spans="1:45" s="4" customFormat="1" ht="16.5" customHeight="1" x14ac:dyDescent="0.2">
      <c r="A22" s="47"/>
      <c r="B22"/>
      <c r="C22" s="32" t="s">
        <v>81</v>
      </c>
      <c r="D22" s="32"/>
      <c r="E22"/>
      <c r="F22"/>
      <c r="G22"/>
      <c r="H22" s="164">
        <v>45240</v>
      </c>
      <c r="I22" s="164"/>
      <c r="J22" s="73" t="s">
        <v>24</v>
      </c>
      <c r="K22"/>
      <c r="L22" s="29" t="s">
        <v>82</v>
      </c>
      <c r="M22" s="29"/>
      <c r="N22" s="87"/>
      <c r="O22" s="165">
        <v>45281</v>
      </c>
      <c r="P22" s="165"/>
      <c r="Q22" s="73" t="s">
        <v>24</v>
      </c>
      <c r="R22"/>
      <c r="S22" s="43"/>
      <c r="T22" s="17"/>
      <c r="U22" s="38" t="s">
        <v>27</v>
      </c>
      <c r="V22" s="38"/>
      <c r="W22" s="38"/>
      <c r="X22" s="38"/>
      <c r="Y22" s="38"/>
      <c r="Z22" s="38"/>
      <c r="AA22" s="38"/>
      <c r="AB22" s="17"/>
      <c r="AC22"/>
      <c r="AD22" s="17"/>
      <c r="AE22" s="47" t="s">
        <v>27</v>
      </c>
      <c r="AF22" s="47"/>
      <c r="AG22" s="47"/>
      <c r="AH22" s="47"/>
      <c r="AI22" s="47"/>
      <c r="AJ22" s="47"/>
      <c r="AK22" s="47"/>
      <c r="AL22" s="40"/>
      <c r="AM22"/>
      <c r="AN22"/>
      <c r="AO22"/>
      <c r="AP22"/>
      <c r="AQ22"/>
      <c r="AR22"/>
      <c r="AS22"/>
    </row>
    <row r="23" spans="1:45" s="4" customFormat="1" ht="16.5" customHeight="1" x14ac:dyDescent="0.2">
      <c r="A23" s="47"/>
      <c r="B23"/>
      <c r="C23" s="29" t="s">
        <v>83</v>
      </c>
      <c r="D23" s="29"/>
      <c r="E23" s="35"/>
      <c r="F23" s="35"/>
      <c r="G23" s="35"/>
      <c r="H23" s="165">
        <v>45242</v>
      </c>
      <c r="I23" s="165"/>
      <c r="J23" s="73" t="s">
        <v>24</v>
      </c>
      <c r="K23"/>
      <c r="L23"/>
      <c r="M23"/>
      <c r="N23"/>
      <c r="O23"/>
      <c r="P23"/>
      <c r="Q23"/>
      <c r="R23"/>
      <c r="S23" s="43"/>
      <c r="T23" s="17"/>
      <c r="U23" s="55" t="s">
        <v>13</v>
      </c>
      <c r="V23" s="38"/>
      <c r="W23" s="38" t="s">
        <v>14</v>
      </c>
      <c r="X23" s="38"/>
      <c r="Y23" s="38"/>
      <c r="Z23" s="38"/>
      <c r="AA23" s="38"/>
      <c r="AB23" s="18"/>
      <c r="AC23"/>
      <c r="AD23" s="18"/>
      <c r="AE23" s="58" t="s">
        <v>13</v>
      </c>
      <c r="AF23" s="47"/>
      <c r="AG23" s="47" t="s">
        <v>14</v>
      </c>
      <c r="AH23" s="47"/>
      <c r="AI23" s="47"/>
      <c r="AJ23" s="47"/>
      <c r="AK23" s="47"/>
      <c r="AL23" s="40"/>
      <c r="AM23"/>
      <c r="AN23"/>
      <c r="AO23"/>
      <c r="AP23"/>
      <c r="AQ23"/>
      <c r="AR23"/>
      <c r="AS23"/>
    </row>
    <row r="24" spans="1:45" s="4" customFormat="1" ht="16.5" customHeight="1" x14ac:dyDescent="0.2">
      <c r="A24" s="47"/>
      <c r="B24"/>
      <c r="C24" s="32" t="s">
        <v>84</v>
      </c>
      <c r="D24" s="32"/>
      <c r="E24"/>
      <c r="F24"/>
      <c r="G24"/>
      <c r="H24" s="164">
        <v>45242</v>
      </c>
      <c r="I24" s="164"/>
      <c r="J24" s="73" t="s">
        <v>24</v>
      </c>
      <c r="K24"/>
      <c r="L24"/>
      <c r="M24"/>
      <c r="N24"/>
      <c r="O24"/>
      <c r="P24"/>
      <c r="Q24"/>
      <c r="R24"/>
      <c r="S24" s="43"/>
      <c r="T24" s="17"/>
      <c r="U24" s="115"/>
      <c r="V24" s="38"/>
      <c r="W24" s="118"/>
      <c r="X24" s="119"/>
      <c r="Y24" s="119"/>
      <c r="Z24" s="119"/>
      <c r="AA24" s="120"/>
      <c r="AB24" s="25"/>
      <c r="AC24"/>
      <c r="AD24" s="17"/>
      <c r="AE24" s="115"/>
      <c r="AF24" s="47"/>
      <c r="AG24" s="118"/>
      <c r="AH24" s="119"/>
      <c r="AI24" s="119"/>
      <c r="AJ24" s="119"/>
      <c r="AK24" s="120"/>
      <c r="AL24" s="40"/>
      <c r="AM24"/>
      <c r="AN24"/>
      <c r="AO24"/>
      <c r="AP24"/>
      <c r="AQ24"/>
      <c r="AR24"/>
      <c r="AS24"/>
    </row>
    <row r="25" spans="1:45" s="4" customFormat="1" ht="16.5" customHeight="1" x14ac:dyDescent="0.2">
      <c r="A25" s="47"/>
      <c r="B25"/>
      <c r="C25" s="29" t="s">
        <v>85</v>
      </c>
      <c r="D25" s="29"/>
      <c r="E25" s="35"/>
      <c r="F25" s="35"/>
      <c r="G25" s="35"/>
      <c r="H25" s="165">
        <v>45242</v>
      </c>
      <c r="I25" s="165"/>
      <c r="J25" s="73" t="s">
        <v>24</v>
      </c>
      <c r="K25"/>
      <c r="L25"/>
      <c r="M25"/>
      <c r="N25"/>
      <c r="O25"/>
      <c r="P25"/>
      <c r="Q25"/>
      <c r="R25"/>
      <c r="S25" s="43"/>
      <c r="T25" s="17"/>
      <c r="U25" s="116"/>
      <c r="V25" s="38"/>
      <c r="W25" s="121"/>
      <c r="X25" s="122"/>
      <c r="Y25" s="122"/>
      <c r="Z25" s="122"/>
      <c r="AA25" s="123"/>
      <c r="AB25" s="25"/>
      <c r="AC25"/>
      <c r="AD25" s="17"/>
      <c r="AE25" s="116"/>
      <c r="AF25" s="47"/>
      <c r="AG25" s="121"/>
      <c r="AH25" s="122"/>
      <c r="AI25" s="122"/>
      <c r="AJ25" s="122"/>
      <c r="AK25" s="123"/>
      <c r="AL25" s="40"/>
      <c r="AM25"/>
      <c r="AN25"/>
      <c r="AO25"/>
      <c r="AP25"/>
      <c r="AQ25"/>
      <c r="AR25"/>
      <c r="AS25"/>
    </row>
    <row r="26" spans="1:45" ht="16.5" customHeight="1" x14ac:dyDescent="0.2">
      <c r="C26" s="32" t="s">
        <v>86</v>
      </c>
      <c r="D26" s="32"/>
      <c r="H26" s="164">
        <v>45242</v>
      </c>
      <c r="I26" s="164"/>
      <c r="J26" s="73" t="s">
        <v>24</v>
      </c>
      <c r="U26" s="116"/>
      <c r="V26" s="38"/>
      <c r="W26" s="121"/>
      <c r="X26" s="122"/>
      <c r="Y26" s="122"/>
      <c r="Z26" s="122"/>
      <c r="AA26" s="123"/>
      <c r="AB26" s="25"/>
      <c r="AE26" s="116"/>
      <c r="AF26" s="47"/>
      <c r="AG26" s="121"/>
      <c r="AH26" s="122"/>
      <c r="AI26" s="122"/>
      <c r="AJ26" s="122"/>
      <c r="AK26" s="123"/>
      <c r="AL26" s="40"/>
    </row>
    <row r="27" spans="1:45" ht="16.5" customHeight="1" x14ac:dyDescent="0.2">
      <c r="C27" s="29" t="s">
        <v>87</v>
      </c>
      <c r="D27" s="29"/>
      <c r="E27" s="35"/>
      <c r="F27" s="35"/>
      <c r="G27" s="35"/>
      <c r="H27" s="165">
        <v>45244</v>
      </c>
      <c r="I27" s="165"/>
      <c r="J27" s="73" t="s">
        <v>24</v>
      </c>
      <c r="U27" s="116"/>
      <c r="V27" s="38"/>
      <c r="W27" s="121"/>
      <c r="X27" s="122"/>
      <c r="Y27" s="122"/>
      <c r="Z27" s="122"/>
      <c r="AA27" s="123"/>
      <c r="AB27" s="25"/>
      <c r="AE27" s="116"/>
      <c r="AF27" s="47"/>
      <c r="AG27" s="121"/>
      <c r="AH27" s="122"/>
      <c r="AI27" s="122"/>
      <c r="AJ27" s="122"/>
      <c r="AK27" s="123"/>
      <c r="AL27" s="40"/>
    </row>
    <row r="28" spans="1:45" ht="16.5" customHeight="1" x14ac:dyDescent="0.2">
      <c r="C28" s="32" t="s">
        <v>88</v>
      </c>
      <c r="D28" s="32"/>
      <c r="H28" s="164">
        <v>45245</v>
      </c>
      <c r="I28" s="164"/>
      <c r="J28" s="73" t="s">
        <v>24</v>
      </c>
      <c r="U28" s="117"/>
      <c r="V28" s="38"/>
      <c r="W28" s="124"/>
      <c r="X28" s="125"/>
      <c r="Y28" s="125"/>
      <c r="Z28" s="125"/>
      <c r="AA28" s="126"/>
      <c r="AB28" s="25"/>
      <c r="AE28" s="117"/>
      <c r="AF28" s="47"/>
      <c r="AG28" s="124"/>
      <c r="AH28" s="125"/>
      <c r="AI28" s="125"/>
      <c r="AJ28" s="125"/>
      <c r="AK28" s="126"/>
      <c r="AL28" s="40"/>
    </row>
    <row r="29" spans="1:45" ht="16.5" customHeight="1" x14ac:dyDescent="0.2">
      <c r="C29" s="29" t="s">
        <v>89</v>
      </c>
      <c r="D29" s="29"/>
      <c r="E29" s="35"/>
      <c r="F29" s="35"/>
      <c r="G29" s="35"/>
      <c r="H29" s="165">
        <v>45247</v>
      </c>
      <c r="I29" s="165"/>
      <c r="J29" s="73" t="s">
        <v>24</v>
      </c>
      <c r="U29" s="56"/>
      <c r="V29" s="38"/>
      <c r="W29" s="38"/>
      <c r="X29" s="38"/>
      <c r="Y29" s="38"/>
      <c r="Z29" s="38"/>
      <c r="AA29" s="38"/>
      <c r="AE29" s="59"/>
      <c r="AF29" s="47"/>
      <c r="AG29" s="47"/>
      <c r="AH29" s="47"/>
      <c r="AI29" s="47"/>
      <c r="AJ29" s="47"/>
      <c r="AK29" s="47"/>
      <c r="AL29" s="40"/>
    </row>
    <row r="30" spans="1:45" ht="16.5" customHeight="1" x14ac:dyDescent="0.2">
      <c r="C30" s="32" t="s">
        <v>90</v>
      </c>
      <c r="D30" s="32"/>
      <c r="H30" s="164">
        <v>45249</v>
      </c>
      <c r="I30" s="164"/>
      <c r="J30" s="73" t="s">
        <v>24</v>
      </c>
      <c r="U30" s="38" t="s">
        <v>17</v>
      </c>
      <c r="V30" s="38"/>
      <c r="W30" s="38" t="s">
        <v>18</v>
      </c>
      <c r="X30" s="38"/>
      <c r="Y30" s="38"/>
      <c r="Z30" s="38"/>
      <c r="AA30" s="38"/>
      <c r="AB30" s="18"/>
      <c r="AD30" s="18"/>
      <c r="AE30" s="47" t="s">
        <v>17</v>
      </c>
      <c r="AF30" s="47"/>
      <c r="AG30" s="47" t="s">
        <v>18</v>
      </c>
      <c r="AH30" s="47"/>
      <c r="AI30" s="47"/>
      <c r="AJ30" s="47"/>
      <c r="AK30" s="47"/>
      <c r="AL30" s="40"/>
    </row>
    <row r="31" spans="1:45" ht="16.5" customHeight="1" x14ac:dyDescent="0.2">
      <c r="C31" s="29" t="s">
        <v>91</v>
      </c>
      <c r="D31" s="29"/>
      <c r="E31" s="35"/>
      <c r="F31" s="35"/>
      <c r="G31" s="35"/>
      <c r="H31" s="165">
        <v>45250</v>
      </c>
      <c r="I31" s="165"/>
      <c r="J31" s="73" t="s">
        <v>24</v>
      </c>
      <c r="U31" s="127"/>
      <c r="V31" s="38"/>
      <c r="W31" s="118"/>
      <c r="X31" s="119"/>
      <c r="Y31" s="119"/>
      <c r="Z31" s="119"/>
      <c r="AA31" s="120"/>
      <c r="AB31" s="25"/>
      <c r="AE31" s="127"/>
      <c r="AF31" s="47"/>
      <c r="AG31" s="118"/>
      <c r="AH31" s="119"/>
      <c r="AI31" s="119"/>
      <c r="AJ31" s="119"/>
      <c r="AK31" s="120"/>
      <c r="AL31" s="40"/>
    </row>
    <row r="32" spans="1:45" ht="16.5" customHeight="1" x14ac:dyDescent="0.2">
      <c r="C32" s="32" t="s">
        <v>92</v>
      </c>
      <c r="D32" s="32"/>
      <c r="H32" s="164">
        <v>45252</v>
      </c>
      <c r="I32" s="164"/>
      <c r="J32" s="73" t="s">
        <v>24</v>
      </c>
      <c r="U32" s="128"/>
      <c r="V32" s="38"/>
      <c r="W32" s="121"/>
      <c r="X32" s="122"/>
      <c r="Y32" s="122"/>
      <c r="Z32" s="122"/>
      <c r="AA32" s="123"/>
      <c r="AB32" s="25"/>
      <c r="AE32" s="128"/>
      <c r="AF32" s="47"/>
      <c r="AG32" s="121"/>
      <c r="AH32" s="122"/>
      <c r="AI32" s="122"/>
      <c r="AJ32" s="122"/>
      <c r="AK32" s="123"/>
      <c r="AL32" s="40"/>
    </row>
    <row r="33" spans="3:38" ht="16.5" customHeight="1" x14ac:dyDescent="0.2">
      <c r="C33" s="29" t="s">
        <v>93</v>
      </c>
      <c r="D33" s="29"/>
      <c r="E33" s="35"/>
      <c r="F33" s="35"/>
      <c r="G33" s="35"/>
      <c r="H33" s="165">
        <v>45254</v>
      </c>
      <c r="I33" s="165"/>
      <c r="J33" s="73" t="s">
        <v>24</v>
      </c>
      <c r="U33" s="128"/>
      <c r="V33" s="38"/>
      <c r="W33" s="121"/>
      <c r="X33" s="122"/>
      <c r="Y33" s="122"/>
      <c r="Z33" s="122"/>
      <c r="AA33" s="123"/>
      <c r="AB33" s="25"/>
      <c r="AE33" s="128"/>
      <c r="AF33" s="47"/>
      <c r="AG33" s="121"/>
      <c r="AH33" s="122"/>
      <c r="AI33" s="122"/>
      <c r="AJ33" s="122"/>
      <c r="AK33" s="123"/>
      <c r="AL33" s="40"/>
    </row>
    <row r="34" spans="3:38" ht="16.5" customHeight="1" x14ac:dyDescent="0.2">
      <c r="C34" s="32" t="s">
        <v>94</v>
      </c>
      <c r="D34" s="32"/>
      <c r="H34" s="164">
        <v>45255</v>
      </c>
      <c r="I34" s="164"/>
      <c r="J34" s="73" t="s">
        <v>24</v>
      </c>
      <c r="U34" s="128"/>
      <c r="V34" s="38"/>
      <c r="W34" s="121"/>
      <c r="X34" s="122"/>
      <c r="Y34" s="122"/>
      <c r="Z34" s="122"/>
      <c r="AA34" s="123"/>
      <c r="AB34" s="25"/>
      <c r="AE34" s="128"/>
      <c r="AF34" s="47"/>
      <c r="AG34" s="121"/>
      <c r="AH34" s="122"/>
      <c r="AI34" s="122"/>
      <c r="AJ34" s="122"/>
      <c r="AK34" s="123"/>
      <c r="AL34" s="40"/>
    </row>
    <row r="35" spans="3:38" ht="16.5" customHeight="1" x14ac:dyDescent="0.2">
      <c r="C35" s="29" t="s">
        <v>95</v>
      </c>
      <c r="D35" s="29"/>
      <c r="E35" s="35"/>
      <c r="F35" s="35"/>
      <c r="G35" s="35"/>
      <c r="H35" s="165">
        <v>45257</v>
      </c>
      <c r="I35" s="154"/>
      <c r="J35" s="73" t="s">
        <v>24</v>
      </c>
      <c r="U35" s="128"/>
      <c r="V35" s="38"/>
      <c r="W35" s="121"/>
      <c r="X35" s="122"/>
      <c r="Y35" s="122"/>
      <c r="Z35" s="122"/>
      <c r="AA35" s="123"/>
      <c r="AB35" s="25"/>
      <c r="AE35" s="128"/>
      <c r="AF35" s="47"/>
      <c r="AG35" s="121"/>
      <c r="AH35" s="122"/>
      <c r="AI35" s="122"/>
      <c r="AJ35" s="122"/>
      <c r="AK35" s="123"/>
      <c r="AL35" s="40"/>
    </row>
    <row r="36" spans="3:38" ht="16.5" customHeight="1" x14ac:dyDescent="0.2">
      <c r="I36" s="17"/>
      <c r="J36" s="74"/>
      <c r="U36" s="128"/>
      <c r="V36" s="38"/>
      <c r="W36" s="121"/>
      <c r="X36" s="122"/>
      <c r="Y36" s="122"/>
      <c r="Z36" s="122"/>
      <c r="AA36" s="123"/>
      <c r="AB36" s="25"/>
      <c r="AE36" s="128"/>
      <c r="AF36" s="47"/>
      <c r="AG36" s="121"/>
      <c r="AH36" s="122"/>
      <c r="AI36" s="122"/>
      <c r="AJ36" s="122"/>
      <c r="AK36" s="123"/>
      <c r="AL36" s="40"/>
    </row>
    <row r="37" spans="3:38" x14ac:dyDescent="0.2">
      <c r="U37" s="129"/>
      <c r="V37" s="38"/>
      <c r="W37" s="124"/>
      <c r="X37" s="125"/>
      <c r="Y37" s="125"/>
      <c r="Z37" s="125"/>
      <c r="AA37" s="126"/>
      <c r="AB37" s="25"/>
      <c r="AE37" s="129"/>
      <c r="AF37" s="47"/>
      <c r="AG37" s="124"/>
      <c r="AH37" s="125"/>
      <c r="AI37" s="125"/>
      <c r="AJ37" s="125"/>
      <c r="AK37" s="126"/>
      <c r="AL37" s="40"/>
    </row>
    <row r="38" spans="3:38" x14ac:dyDescent="0.2">
      <c r="AE38" s="4"/>
      <c r="AF38" s="4"/>
      <c r="AG38" s="4"/>
      <c r="AH38" s="4"/>
      <c r="AI38" s="4"/>
      <c r="AJ38" s="4"/>
      <c r="AK38" s="4"/>
      <c r="AL38" s="40"/>
    </row>
    <row r="39" spans="3:38" x14ac:dyDescent="0.2">
      <c r="U39" s="57" t="s">
        <v>27</v>
      </c>
      <c r="V39" s="57"/>
      <c r="W39" s="57"/>
      <c r="X39" s="57"/>
      <c r="Y39" s="57"/>
      <c r="Z39" s="57"/>
      <c r="AA39" s="57"/>
      <c r="AE39" s="61" t="s">
        <v>27</v>
      </c>
      <c r="AF39" s="61"/>
      <c r="AG39" s="61"/>
      <c r="AH39" s="61"/>
      <c r="AI39" s="61"/>
      <c r="AJ39" s="61"/>
      <c r="AK39" s="61"/>
      <c r="AL39" s="40"/>
    </row>
    <row r="40" spans="3:38" ht="12" x14ac:dyDescent="0.2">
      <c r="U40" s="58" t="s">
        <v>13</v>
      </c>
      <c r="V40" s="47"/>
      <c r="W40" s="47" t="s">
        <v>14</v>
      </c>
      <c r="X40" s="47"/>
      <c r="Y40" s="47"/>
      <c r="Z40" s="47"/>
      <c r="AA40" s="47"/>
      <c r="AB40" s="18"/>
      <c r="AE40" s="55" t="s">
        <v>13</v>
      </c>
      <c r="AF40" s="38"/>
      <c r="AG40" s="38" t="s">
        <v>14</v>
      </c>
      <c r="AH40" s="38"/>
      <c r="AI40" s="38"/>
      <c r="AJ40" s="38"/>
      <c r="AK40" s="38"/>
      <c r="AL40" s="40"/>
    </row>
    <row r="41" spans="3:38" x14ac:dyDescent="0.2">
      <c r="U41" s="115"/>
      <c r="V41" s="47"/>
      <c r="W41" s="118"/>
      <c r="X41" s="119"/>
      <c r="Y41" s="119"/>
      <c r="Z41" s="119"/>
      <c r="AA41" s="120"/>
      <c r="AB41" s="25"/>
      <c r="AE41" s="115"/>
      <c r="AF41" s="38"/>
      <c r="AG41" s="118"/>
      <c r="AH41" s="119"/>
      <c r="AI41" s="119"/>
      <c r="AJ41" s="119"/>
      <c r="AK41" s="120"/>
      <c r="AL41" s="40"/>
    </row>
    <row r="42" spans="3:38" x14ac:dyDescent="0.2">
      <c r="U42" s="116"/>
      <c r="V42" s="47"/>
      <c r="W42" s="121"/>
      <c r="X42" s="122"/>
      <c r="Y42" s="122"/>
      <c r="Z42" s="122"/>
      <c r="AA42" s="123"/>
      <c r="AB42" s="25"/>
      <c r="AE42" s="116"/>
      <c r="AF42" s="38"/>
      <c r="AG42" s="121"/>
      <c r="AH42" s="122"/>
      <c r="AI42" s="122"/>
      <c r="AJ42" s="122"/>
      <c r="AK42" s="123"/>
      <c r="AL42" s="40"/>
    </row>
    <row r="43" spans="3:38" x14ac:dyDescent="0.2">
      <c r="U43" s="116"/>
      <c r="V43" s="47"/>
      <c r="W43" s="121"/>
      <c r="X43" s="122"/>
      <c r="Y43" s="122"/>
      <c r="Z43" s="122"/>
      <c r="AA43" s="123"/>
      <c r="AB43" s="25"/>
      <c r="AE43" s="116"/>
      <c r="AF43" s="38"/>
      <c r="AG43" s="121"/>
      <c r="AH43" s="122"/>
      <c r="AI43" s="122"/>
      <c r="AJ43" s="122"/>
      <c r="AK43" s="123"/>
      <c r="AL43" s="40"/>
    </row>
    <row r="44" spans="3:38" x14ac:dyDescent="0.2">
      <c r="U44" s="116"/>
      <c r="V44" s="47"/>
      <c r="W44" s="121"/>
      <c r="X44" s="122"/>
      <c r="Y44" s="122"/>
      <c r="Z44" s="122"/>
      <c r="AA44" s="123"/>
      <c r="AB44" s="25"/>
      <c r="AE44" s="116"/>
      <c r="AF44" s="38"/>
      <c r="AG44" s="121"/>
      <c r="AH44" s="122"/>
      <c r="AI44" s="122"/>
      <c r="AJ44" s="122"/>
      <c r="AK44" s="123"/>
      <c r="AL44" s="40"/>
    </row>
    <row r="45" spans="3:38" x14ac:dyDescent="0.2">
      <c r="U45" s="117"/>
      <c r="V45" s="47"/>
      <c r="W45" s="124"/>
      <c r="X45" s="125"/>
      <c r="Y45" s="125"/>
      <c r="Z45" s="125"/>
      <c r="AA45" s="126"/>
      <c r="AB45" s="25"/>
      <c r="AE45" s="117"/>
      <c r="AF45" s="38"/>
      <c r="AG45" s="124"/>
      <c r="AH45" s="125"/>
      <c r="AI45" s="125"/>
      <c r="AJ45" s="125"/>
      <c r="AK45" s="126"/>
      <c r="AL45" s="40"/>
    </row>
    <row r="46" spans="3:38" x14ac:dyDescent="0.2">
      <c r="U46" s="59"/>
      <c r="V46" s="47"/>
      <c r="W46" s="47"/>
      <c r="X46" s="47"/>
      <c r="Y46" s="47"/>
      <c r="Z46" s="47"/>
      <c r="AA46" s="47"/>
      <c r="AE46" s="56"/>
      <c r="AF46" s="38"/>
      <c r="AG46" s="38"/>
      <c r="AH46" s="38"/>
      <c r="AI46" s="38"/>
      <c r="AJ46" s="38"/>
      <c r="AK46" s="38"/>
      <c r="AL46" s="40"/>
    </row>
    <row r="47" spans="3:38" x14ac:dyDescent="0.2">
      <c r="U47" s="47" t="s">
        <v>17</v>
      </c>
      <c r="V47" s="47"/>
      <c r="W47" s="47" t="s">
        <v>18</v>
      </c>
      <c r="X47" s="47"/>
      <c r="Y47" s="47"/>
      <c r="Z47" s="47"/>
      <c r="AA47" s="47"/>
      <c r="AB47" s="18"/>
      <c r="AE47" s="38" t="s">
        <v>17</v>
      </c>
      <c r="AF47" s="38"/>
      <c r="AG47" s="38" t="s">
        <v>18</v>
      </c>
      <c r="AH47" s="38"/>
      <c r="AI47" s="38"/>
      <c r="AJ47" s="38"/>
      <c r="AK47" s="38"/>
      <c r="AL47" s="40"/>
    </row>
    <row r="48" spans="3:38" x14ac:dyDescent="0.2">
      <c r="U48" s="127"/>
      <c r="V48" s="47"/>
      <c r="W48" s="118"/>
      <c r="X48" s="119"/>
      <c r="Y48" s="119"/>
      <c r="Z48" s="119"/>
      <c r="AA48" s="120"/>
      <c r="AB48" s="25"/>
      <c r="AE48" s="127"/>
      <c r="AF48" s="38"/>
      <c r="AG48" s="118"/>
      <c r="AH48" s="119"/>
      <c r="AI48" s="119"/>
      <c r="AJ48" s="119"/>
      <c r="AK48" s="120"/>
      <c r="AL48" s="40"/>
    </row>
    <row r="49" spans="21:38" x14ac:dyDescent="0.2">
      <c r="U49" s="128"/>
      <c r="V49" s="47"/>
      <c r="W49" s="121"/>
      <c r="X49" s="122"/>
      <c r="Y49" s="122"/>
      <c r="Z49" s="122"/>
      <c r="AA49" s="123"/>
      <c r="AB49" s="25"/>
      <c r="AE49" s="128"/>
      <c r="AF49" s="38"/>
      <c r="AG49" s="121"/>
      <c r="AH49" s="122"/>
      <c r="AI49" s="122"/>
      <c r="AJ49" s="122"/>
      <c r="AK49" s="123"/>
      <c r="AL49" s="40"/>
    </row>
    <row r="50" spans="21:38" x14ac:dyDescent="0.2">
      <c r="U50" s="128"/>
      <c r="V50" s="47"/>
      <c r="W50" s="121"/>
      <c r="X50" s="122"/>
      <c r="Y50" s="122"/>
      <c r="Z50" s="122"/>
      <c r="AA50" s="123"/>
      <c r="AB50" s="25"/>
      <c r="AE50" s="128"/>
      <c r="AF50" s="38"/>
      <c r="AG50" s="121"/>
      <c r="AH50" s="122"/>
      <c r="AI50" s="122"/>
      <c r="AJ50" s="122"/>
      <c r="AK50" s="123"/>
      <c r="AL50" s="40"/>
    </row>
    <row r="51" spans="21:38" x14ac:dyDescent="0.2">
      <c r="U51" s="128"/>
      <c r="V51" s="47"/>
      <c r="W51" s="121"/>
      <c r="X51" s="122"/>
      <c r="Y51" s="122"/>
      <c r="Z51" s="122"/>
      <c r="AA51" s="123"/>
      <c r="AB51" s="25"/>
      <c r="AE51" s="128"/>
      <c r="AF51" s="38"/>
      <c r="AG51" s="121"/>
      <c r="AH51" s="122"/>
      <c r="AI51" s="122"/>
      <c r="AJ51" s="122"/>
      <c r="AK51" s="123"/>
      <c r="AL51" s="40"/>
    </row>
    <row r="52" spans="21:38" x14ac:dyDescent="0.2">
      <c r="U52" s="128"/>
      <c r="V52" s="47"/>
      <c r="W52" s="121"/>
      <c r="X52" s="122"/>
      <c r="Y52" s="122"/>
      <c r="Z52" s="122"/>
      <c r="AA52" s="123"/>
      <c r="AB52" s="25"/>
      <c r="AE52" s="128"/>
      <c r="AF52" s="38"/>
      <c r="AG52" s="121"/>
      <c r="AH52" s="122"/>
      <c r="AI52" s="122"/>
      <c r="AJ52" s="122"/>
      <c r="AK52" s="123"/>
      <c r="AL52" s="40"/>
    </row>
    <row r="53" spans="21:38" x14ac:dyDescent="0.2">
      <c r="U53" s="128"/>
      <c r="V53" s="47"/>
      <c r="W53" s="121"/>
      <c r="X53" s="122"/>
      <c r="Y53" s="122"/>
      <c r="Z53" s="122"/>
      <c r="AA53" s="123"/>
      <c r="AB53" s="25"/>
      <c r="AE53" s="128"/>
      <c r="AF53" s="38"/>
      <c r="AG53" s="121"/>
      <c r="AH53" s="122"/>
      <c r="AI53" s="122"/>
      <c r="AJ53" s="122"/>
      <c r="AK53" s="123"/>
      <c r="AL53" s="40"/>
    </row>
    <row r="54" spans="21:38" x14ac:dyDescent="0.2">
      <c r="U54" s="129"/>
      <c r="V54" s="47"/>
      <c r="W54" s="124"/>
      <c r="X54" s="125"/>
      <c r="Y54" s="125"/>
      <c r="Z54" s="125"/>
      <c r="AA54" s="126"/>
      <c r="AB54" s="25"/>
      <c r="AE54" s="129"/>
      <c r="AF54" s="38"/>
      <c r="AG54" s="124"/>
      <c r="AH54" s="125"/>
      <c r="AI54" s="125"/>
      <c r="AJ54" s="125"/>
      <c r="AK54" s="126"/>
      <c r="AL54" s="40"/>
    </row>
    <row r="55" spans="21:38" x14ac:dyDescent="0.2">
      <c r="U55" s="43"/>
      <c r="V55" s="43"/>
      <c r="W55" s="43"/>
      <c r="X55" s="43"/>
      <c r="Y55" s="43"/>
      <c r="Z55" s="43"/>
      <c r="AA55" s="43"/>
      <c r="AE55" s="38"/>
      <c r="AF55" s="38"/>
      <c r="AG55" s="38"/>
      <c r="AH55" s="38"/>
      <c r="AI55" s="38"/>
      <c r="AJ55" s="38"/>
      <c r="AK55" s="38"/>
      <c r="AL55" s="40"/>
    </row>
    <row r="56" spans="21:38" x14ac:dyDescent="0.2">
      <c r="AE56" s="4"/>
      <c r="AF56" s="4"/>
      <c r="AG56" s="4"/>
      <c r="AH56" s="4"/>
      <c r="AI56" s="4"/>
      <c r="AJ56" s="4"/>
      <c r="AK56" s="4"/>
      <c r="AL56" s="40"/>
    </row>
  </sheetData>
  <mergeCells count="60">
    <mergeCell ref="O19:P19"/>
    <mergeCell ref="O20:P20"/>
    <mergeCell ref="O21:P21"/>
    <mergeCell ref="O22:P22"/>
    <mergeCell ref="H31:I31"/>
    <mergeCell ref="H32:I32"/>
    <mergeCell ref="H33:I33"/>
    <mergeCell ref="H34:I34"/>
    <mergeCell ref="H35:I35"/>
    <mergeCell ref="H26:I26"/>
    <mergeCell ref="H27:I27"/>
    <mergeCell ref="H28:I28"/>
    <mergeCell ref="H29:I29"/>
    <mergeCell ref="H30:I30"/>
    <mergeCell ref="AG41:AK45"/>
    <mergeCell ref="AE48:AE54"/>
    <mergeCell ref="AG48:AK54"/>
    <mergeCell ref="AE14:AE20"/>
    <mergeCell ref="AG14:AK20"/>
    <mergeCell ref="AE24:AE28"/>
    <mergeCell ref="AG24:AK28"/>
    <mergeCell ref="AE31:AE37"/>
    <mergeCell ref="AG31:AK37"/>
    <mergeCell ref="U41:U45"/>
    <mergeCell ref="W41:AA45"/>
    <mergeCell ref="U48:U54"/>
    <mergeCell ref="W48:AA54"/>
    <mergeCell ref="AE7:AE11"/>
    <mergeCell ref="AE41:AE45"/>
    <mergeCell ref="U31:U37"/>
    <mergeCell ref="W31:AA37"/>
    <mergeCell ref="U7:U11"/>
    <mergeCell ref="W14:AA20"/>
    <mergeCell ref="U14:U20"/>
    <mergeCell ref="W7:AA11"/>
    <mergeCell ref="U1:AK1"/>
    <mergeCell ref="C1:P1"/>
    <mergeCell ref="AG7:AK11"/>
    <mergeCell ref="U24:U28"/>
    <mergeCell ref="W24:AA28"/>
    <mergeCell ref="H15:I15"/>
    <mergeCell ref="H16:I16"/>
    <mergeCell ref="H17:I17"/>
    <mergeCell ref="H18:I18"/>
    <mergeCell ref="H19:I19"/>
    <mergeCell ref="H20:I20"/>
    <mergeCell ref="H21:I21"/>
    <mergeCell ref="H22:I22"/>
    <mergeCell ref="H23:I23"/>
    <mergeCell ref="H24:I24"/>
    <mergeCell ref="H25:I25"/>
    <mergeCell ref="B14:B18"/>
    <mergeCell ref="B2:J2"/>
    <mergeCell ref="V3:W4"/>
    <mergeCell ref="C4:I4"/>
    <mergeCell ref="K4:Q4"/>
    <mergeCell ref="O15:P15"/>
    <mergeCell ref="O16:P16"/>
    <mergeCell ref="O17:P17"/>
    <mergeCell ref="O18:P18"/>
  </mergeCells>
  <dataValidations count="1">
    <dataValidation allowBlank="1" showInputMessage="1" showErrorMessage="1" errorTitle="Ano Inválido" error="Insira um ano de 1900 a 9999 ou use a barra de rolagem para encontrar um ano." sqref="C1"/>
  </dataValidations>
  <hyperlinks>
    <hyperlink ref="AE3" r:id="rId1"/>
  </hyperlinks>
  <printOptions horizontalCentered="1" verticalCentered="1"/>
  <pageMargins left="0.5" right="0.5" top="0.5" bottom="0.5" header="0.3" footer="0.3"/>
  <pageSetup paperSize="9" scale="72" orientation="portrait" verticalDpi="4294967295" r:id="rId2"/>
  <headerFooter>
    <oddHeader>&amp;L&amp;"Calibri"&amp;12&amp;K0000FF Uso Interno&amp;1#_x000D_</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ontrole Giratório">
              <controlPr defaultSize="0" print="0" autoPict="0" altText="Use os botões de controle giratório para alterar o ano do calendário ou inserir o ano na célula C1">
                <anchor moveWithCells="1">
                  <from>
                    <xdr:col>1</xdr:col>
                    <xdr:colOff>114300</xdr:colOff>
                    <xdr:row>0</xdr:row>
                    <xdr:rowOff>38100</xdr:rowOff>
                  </from>
                  <to>
                    <xdr:col>1</xdr:col>
                    <xdr:colOff>266700</xdr:colOff>
                    <xdr:row>0</xdr:row>
                    <xdr:rowOff>342900</xdr:rowOff>
                  </to>
                </anchor>
              </controlPr>
            </control>
          </mc:Choice>
        </mc:AlternateContent>
      </controls>
    </mc:Choice>
  </mc:AlternateContent>
  <tableParts count="2">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1ED55D7414D9428E3B8FE8DA09B7ED" ma:contentTypeVersion="21" ma:contentTypeDescription="Crie um novo documento." ma:contentTypeScope="" ma:versionID="274f382c791484c7e8bee8883d299e72">
  <xsd:schema xmlns:xsd="http://www.w3.org/2001/XMLSchema" xmlns:xs="http://www.w3.org/2001/XMLSchema" xmlns:p="http://schemas.microsoft.com/office/2006/metadata/properties" xmlns:ns1="http://schemas.microsoft.com/sharepoint/v3" xmlns:ns3="ad316973-8349-4ba1-8b8c-595395fbce67" xmlns:ns4="0d24ca4d-8056-4c07-9fe8-c374dedb8667" targetNamespace="http://schemas.microsoft.com/office/2006/metadata/properties" ma:root="true" ma:fieldsID="a8abc92da795f2bef0a21ac74d04a872" ns1:_="" ns3:_="" ns4:_="">
    <xsd:import namespace="http://schemas.microsoft.com/sharepoint/v3"/>
    <xsd:import namespace="ad316973-8349-4ba1-8b8c-595395fbce67"/>
    <xsd:import namespace="0d24ca4d-8056-4c07-9fe8-c374dedb8667"/>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1:_ip_UnifiedCompliancePolicyProperties" minOccurs="0"/>
                <xsd:element ref="ns1:_ip_UnifiedCompliancePolicyUIAction"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Propriedades da Política de Conformidade Unificada" ma:hidden="true" ma:internalName="_ip_UnifiedCompliancePolicyProperties">
      <xsd:simpleType>
        <xsd:restriction base="dms:Note"/>
      </xsd:simpleType>
    </xsd:element>
    <xsd:element name="_ip_UnifiedCompliancePolicyUIAction" ma:index="25"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16973-8349-4ba1-8b8c-595395fbce67"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SharingHintHash" ma:index="10" nillable="true" ma:displayName="Hash de Dica de Compartilhamento" ma:description="" ma:internalName="SharingHintHash" ma:readOnly="true">
      <xsd:simpleType>
        <xsd:restriction base="dms:Text"/>
      </xsd:simpleType>
    </xsd:element>
    <xsd:element name="LastSharedByUser" ma:index="11" nillable="true" ma:displayName="Último Compartilhamento Por Usuário" ma:description="" ma:internalName="LastSharedByUser" ma:readOnly="true">
      <xsd:simpleType>
        <xsd:restriction base="dms:Note">
          <xsd:maxLength value="255"/>
        </xsd:restriction>
      </xsd:simpleType>
    </xsd:element>
    <xsd:element name="LastSharedByTime" ma:index="12" nillable="true" ma:displayName="Último Compartilhamento Por Tempo"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d24ca4d-8056-4c07-9fe8-c374dedb8667"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activity" ma:index="26" nillable="true" ma:displayName="_activity" ma:hidden="true" ma:internalName="_activity">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ystemTags" ma:index="28"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d24ca4d-8056-4c07-9fe8-c374dedb8667"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EC8856AE-D22C-4707-89F2-371FB4D8C2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316973-8349-4ba1-8b8c-595395fbce67"/>
    <ds:schemaRef ds:uri="0d24ca4d-8056-4c07-9fe8-c374dedb86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ADA420-9F2F-4455-BE8D-51DAE20C25A4}">
  <ds:schemaRefs>
    <ds:schemaRef ds:uri="http://schemas.openxmlformats.org/package/2006/metadata/core-properties"/>
    <ds:schemaRef ds:uri="http://purl.org/dc/elements/1.1/"/>
    <ds:schemaRef ds:uri="http://schemas.microsoft.com/sharepoint/v3"/>
    <ds:schemaRef ds:uri="http://schemas.microsoft.com/office/2006/metadata/properties"/>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0d24ca4d-8056-4c07-9fe8-c374dedb8667"/>
    <ds:schemaRef ds:uri="ad316973-8349-4ba1-8b8c-595395fbce67"/>
  </ds:schemaRefs>
</ds:datastoreItem>
</file>

<file path=customXml/itemProps3.xml><?xml version="1.0" encoding="utf-8"?>
<ds:datastoreItem xmlns:ds="http://schemas.openxmlformats.org/officeDocument/2006/customXml" ds:itemID="{2190F112-879C-4030-A25C-1D3981B7E655}">
  <ds:schemaRefs>
    <ds:schemaRef ds:uri="http://schemas.microsoft.com/sharepoint/v3/contenttype/forms"/>
  </ds:schemaRefs>
</ds:datastoreItem>
</file>

<file path=customXml/itemProps4.xml><?xml version="1.0" encoding="utf-8"?>
<ds:datastoreItem xmlns:ds="http://schemas.openxmlformats.org/officeDocument/2006/customXml" ds:itemID="{ACF5685B-6E25-49BE-B701-C7D75B8E05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7</vt:i4>
      </vt:variant>
    </vt:vector>
  </HeadingPairs>
  <TitlesOfParts>
    <vt:vector size="11" baseType="lpstr">
      <vt:lpstr>Início</vt:lpstr>
      <vt:lpstr>JUL-AGO</vt:lpstr>
      <vt:lpstr>SET-OUT</vt:lpstr>
      <vt:lpstr>NOV-DEZ</vt:lpstr>
      <vt:lpstr>'JUL-AGO'!AnoDoCalendário</vt:lpstr>
      <vt:lpstr>'NOV-DEZ'!AnoDoCalendário</vt:lpstr>
      <vt:lpstr>'SET-OUT'!AnoDoCalendário</vt:lpstr>
      <vt:lpstr>'JUL-AGO'!Area_de_impressao</vt:lpstr>
      <vt:lpstr>'NOV-DEZ'!Area_de_impressao</vt:lpstr>
      <vt:lpstr>'SET-OUT'!Area_de_impressao</vt:lpstr>
      <vt:lpst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Rafael Tunes Fonseca</dc:creator>
  <cp:keywords/>
  <dc:description/>
  <cp:lastModifiedBy>EMMANUELE SANTANA DA CONCEICAO</cp:lastModifiedBy>
  <cp:revision/>
  <dcterms:created xsi:type="dcterms:W3CDTF">2017-11-29T09:38:15Z</dcterms:created>
  <dcterms:modified xsi:type="dcterms:W3CDTF">2024-07-26T16:27:56Z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0x010100B91ED55D7414D9428E3B8FE8DA09B7ED</vt:lpwstr>
  </property>
  <property fmtid="{D5CDD505-2E9C-101B-9397-08002B2CF9AE}" pid="3" name="MSIP_Label_49600cda-37c1-4df3-a918-ef3b66d6b7ba_Enabled">
    <vt:lpwstr>true</vt:lpwstr>
  </property>
  <property fmtid="{D5CDD505-2E9C-101B-9397-08002B2CF9AE}" pid="4" name="MSIP_Label_49600cda-37c1-4df3-a918-ef3b66d6b7ba_SetDate">
    <vt:lpwstr>2024-01-23T16:45:43Z</vt:lpwstr>
  </property>
  <property fmtid="{D5CDD505-2E9C-101B-9397-08002B2CF9AE}" pid="5" name="MSIP_Label_49600cda-37c1-4df3-a918-ef3b66d6b7ba_Method">
    <vt:lpwstr>Privileged</vt:lpwstr>
  </property>
  <property fmtid="{D5CDD505-2E9C-101B-9397-08002B2CF9AE}" pid="6" name="MSIP_Label_49600cda-37c1-4df3-a918-ef3b66d6b7ba_Name">
    <vt:lpwstr>MG - Uso Interno</vt:lpwstr>
  </property>
  <property fmtid="{D5CDD505-2E9C-101B-9397-08002B2CF9AE}" pid="7" name="MSIP_Label_49600cda-37c1-4df3-a918-ef3b66d6b7ba_SiteId">
    <vt:lpwstr>97298271-1bd7-4ac5-935b-88addef636cc</vt:lpwstr>
  </property>
  <property fmtid="{D5CDD505-2E9C-101B-9397-08002B2CF9AE}" pid="8" name="MSIP_Label_49600cda-37c1-4df3-a918-ef3b66d6b7ba_ActionId">
    <vt:lpwstr>971c9e37-3c5d-44ff-a2c7-de76058efe3c</vt:lpwstr>
  </property>
  <property fmtid="{D5CDD505-2E9C-101B-9397-08002B2CF9AE}" pid="9" name="MSIP_Label_49600cda-37c1-4df3-a918-ef3b66d6b7ba_ContentBits">
    <vt:lpwstr>1</vt:lpwstr>
  </property>
</Properties>
</file>