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ILESERVER01.tel.local\SuporteN2_SEBRAE$\Manu Conceição\5456 - PROMOÇÕES\"/>
    </mc:Choice>
  </mc:AlternateContent>
  <bookViews>
    <workbookView xWindow="0" yWindow="0" windowWidth="28800" windowHeight="12225"/>
  </bookViews>
  <sheets>
    <sheet name="Início" sheetId="2" r:id="rId1"/>
    <sheet name="JUL-AGO" sheetId="7" r:id="rId2"/>
    <sheet name="SET-OUT" sheetId="3" r:id="rId3"/>
    <sheet name="NOV-DEZ" sheetId="4" r:id="rId4"/>
  </sheets>
  <definedNames>
    <definedName name="_xlnm._FilterDatabase" localSheetId="1" hidden="1">'JUL-AGO'!$F$14:$H$35</definedName>
    <definedName name="AbrDom1" localSheetId="1">DATE('JUL-AGO'!AnoDoCalendário,4,1)-WEEKDAY(DATE('JUL-AGO'!AnoDoCalendário,4,1))</definedName>
    <definedName name="AbrDom1" localSheetId="3">DATE('NOV-DEZ'!AnoDoCalendário,4,1)-WEEKDAY(DATE('NOV-DEZ'!AnoDoCalendário,4,1))</definedName>
    <definedName name="AbrDom1" localSheetId="2">DATE('SET-OUT'!AnoDoCalendário,4,1)-WEEKDAY(DATE('SET-OUT'!AnoDoCalendário,4,1))</definedName>
    <definedName name="AbrDom1">DATE(AnoDoCalendário,4,1)-WEEKDAY(DATE(AnoDoCalendário,4,1))</definedName>
    <definedName name="AgoDom1" localSheetId="1">DATE('JUL-AGO'!AnoDoCalendário,8,1)-WEEKDAY(DATE('JUL-AGO'!AnoDoCalendário,8,1))</definedName>
    <definedName name="AgoDom1" localSheetId="3">DATE('NOV-DEZ'!AnoDoCalendário,8,1)-WEEKDAY(DATE('NOV-DEZ'!AnoDoCalendário,8,1))</definedName>
    <definedName name="AgoDom1" localSheetId="2">DATE('SET-OUT'!AnoDoCalendário,8,1)-WEEKDAY(DATE('SET-OUT'!AnoDoCalendário,8,1))</definedName>
    <definedName name="AgoDom1">DATE(AnoDoCalendário,8,1)-WEEKDAY(DATE(AnoDoCalendário,8,1))</definedName>
    <definedName name="AnoDoCalendário" localSheetId="1">'JUL-AGO'!$B$1</definedName>
    <definedName name="AnoDoCalendário" localSheetId="3">'NOV-DEZ'!$C$1</definedName>
    <definedName name="AnoDoCalendário" localSheetId="2">'SET-OUT'!$B$1</definedName>
    <definedName name="AnoDoCalendário">#REF!</definedName>
    <definedName name="_xlnm.Print_Area" localSheetId="1">'JUL-AGO'!$B$1:$W$20</definedName>
    <definedName name="_xlnm.Print_Area" localSheetId="3">'NOV-DEZ'!$B$1:$W$11</definedName>
    <definedName name="_xlnm.Print_Area" localSheetId="2">'SET-OUT'!$B$1:$W$20</definedName>
    <definedName name="DezDom1" localSheetId="1">DATE('JUL-AGO'!AnoDoCalendário,12,1)-WEEKDAY(DATE('JUL-AGO'!AnoDoCalendário,12,1))</definedName>
    <definedName name="DezDom1" localSheetId="3">DATE('NOV-DEZ'!AnoDoCalendário,12,1)-WEEKDAY(DATE('NOV-DEZ'!AnoDoCalendário,12,1))</definedName>
    <definedName name="DezDom1" localSheetId="2">DATE('SET-OUT'!AnoDoCalendário,12,1)-WEEKDAY(DATE('SET-OUT'!AnoDoCalendário,12,1))</definedName>
    <definedName name="DezDom1">DATE(AnoDoCalendário,12,1)-WEEKDAY(DATE(AnoDoCalendário,12,1))</definedName>
    <definedName name="FevDom1" localSheetId="1">DATE('JUL-AGO'!AnoDoCalendário,2,1)-WEEKDAY(DATE('JUL-AGO'!AnoDoCalendário,2,1))</definedName>
    <definedName name="FevDom1" localSheetId="3">DATE('NOV-DEZ'!AnoDoCalendário,2,1)-WEEKDAY(DATE('NOV-DEZ'!AnoDoCalendário,2,1))</definedName>
    <definedName name="FevDom1" localSheetId="2">DATE('SET-OUT'!AnoDoCalendário,2,1)-WEEKDAY(DATE('SET-OUT'!AnoDoCalendário,2,1))</definedName>
    <definedName name="FevDom1">DATE(AnoDoCalendário,2,1)-WEEKDAY(DATE(AnoDoCalendário,2,1))</definedName>
    <definedName name="JanDom1" localSheetId="1">DATE('JUL-AGO'!AnoDoCalendário,1,1)-WEEKDAY(DATE('JUL-AGO'!AnoDoCalendário,1,1))</definedName>
    <definedName name="JanDom1" localSheetId="3">DATE('NOV-DEZ'!AnoDoCalendário,1,1)-WEEKDAY(DATE('NOV-DEZ'!AnoDoCalendário,1,1))</definedName>
    <definedName name="JanDom1" localSheetId="2">DATE('SET-OUT'!AnoDoCalendário,1,1)-WEEKDAY(DATE('SET-OUT'!AnoDoCalendário,1,1))</definedName>
    <definedName name="JanDom1">DATE(AnoDoCalendário,1,1)-WEEKDAY(DATE(AnoDoCalendário,1,1))</definedName>
    <definedName name="JulDom1" localSheetId="1">DATE('JUL-AGO'!AnoDoCalendário,7,1)-WEEKDAY(DATE('JUL-AGO'!AnoDoCalendário,7,1))</definedName>
    <definedName name="JulDom1" localSheetId="3">DATE('NOV-DEZ'!AnoDoCalendário,7,1)-WEEKDAY(DATE('NOV-DEZ'!AnoDoCalendário,7,1))</definedName>
    <definedName name="JulDom1" localSheetId="2">DATE('SET-OUT'!AnoDoCalendário,7,1)-WEEKDAY(DATE('SET-OUT'!AnoDoCalendário,7,1))</definedName>
    <definedName name="JulDom1">DATE(AnoDoCalendário,7,1)-WEEKDAY(DATE(AnoDoCalendário,7,1))</definedName>
    <definedName name="JunDom1" localSheetId="1">DATE('JUL-AGO'!AnoDoCalendário,6,1)-WEEKDAY(DATE('JUL-AGO'!AnoDoCalendário,6,1))</definedName>
    <definedName name="JunDom1" localSheetId="3">DATE('NOV-DEZ'!AnoDoCalendário,6,1)-WEEKDAY(DATE('NOV-DEZ'!AnoDoCalendário,6,1))</definedName>
    <definedName name="JunDom1" localSheetId="2">DATE('SET-OUT'!AnoDoCalendário,6,1)-WEEKDAY(DATE('SET-OUT'!AnoDoCalendário,6,1))</definedName>
    <definedName name="JunDom1">DATE(AnoDoCalendário,6,1)-WEEKDAY(DATE(AnoDoCalendário,6,1))</definedName>
    <definedName name="MaiDom1" localSheetId="1">DATE('JUL-AGO'!AnoDoCalendário,5,1)-WEEKDAY(DATE('JUL-AGO'!AnoDoCalendário,5,1))</definedName>
    <definedName name="MaiDom1" localSheetId="3">DATE('NOV-DEZ'!AnoDoCalendário,5,1)-WEEKDAY(DATE('NOV-DEZ'!AnoDoCalendário,5,1))</definedName>
    <definedName name="MaiDom1" localSheetId="2">DATE('SET-OUT'!AnoDoCalendário,5,1)-WEEKDAY(DATE('SET-OUT'!AnoDoCalendário,5,1))</definedName>
    <definedName name="MaiDom1">DATE(AnoDoCalendário,5,1)-WEEKDAY(DATE(AnoDoCalendário,5,1))</definedName>
    <definedName name="MarDom1" localSheetId="1">DATE('JUL-AGO'!AnoDoCalendário,3,1)-WEEKDAY(DATE('JUL-AGO'!AnoDoCalendário,3,1))</definedName>
    <definedName name="MarDom1" localSheetId="3">DATE('NOV-DEZ'!AnoDoCalendário,3,1)-WEEKDAY(DATE('NOV-DEZ'!AnoDoCalendário,3,1))</definedName>
    <definedName name="MarDom1" localSheetId="2">DATE('SET-OUT'!AnoDoCalendário,3,1)-WEEKDAY(DATE('SET-OUT'!AnoDoCalendário,3,1))</definedName>
    <definedName name="MarDom1">DATE(AnoDoCalendário,3,1)-WEEKDAY(DATE(AnoDoCalendário,3,1))</definedName>
    <definedName name="NovDom1" localSheetId="1">DATE('JUL-AGO'!AnoDoCalendário,11,1)-WEEKDAY(DATE('JUL-AGO'!AnoDoCalendário,11,1))</definedName>
    <definedName name="NovDom1" localSheetId="3">DATE('NOV-DEZ'!AnoDoCalendário,11,1)-WEEKDAY(DATE('NOV-DEZ'!AnoDoCalendário,11,1))</definedName>
    <definedName name="NovDom1" localSheetId="2">DATE('SET-OUT'!AnoDoCalendário,11,1)-WEEKDAY(DATE('SET-OUT'!AnoDoCalendário,11,1))</definedName>
    <definedName name="NovDom1">DATE(AnoDoCalendário,11,1)-WEEKDAY(DATE(AnoDoCalendário,11,1))</definedName>
    <definedName name="OutDom1" localSheetId="1">DATE('JUL-AGO'!AnoDoCalendário,10,1)-WEEKDAY(DATE('JUL-AGO'!AnoDoCalendário,10,1))</definedName>
    <definedName name="OutDom1" localSheetId="3">DATE('NOV-DEZ'!AnoDoCalendário,10,1)-WEEKDAY(DATE('NOV-DEZ'!AnoDoCalendário,10,1))</definedName>
    <definedName name="OutDom1" localSheetId="2">DATE('SET-OUT'!AnoDoCalendário,10,1)-WEEKDAY(DATE('SET-OUT'!AnoDoCalendário,10,1))</definedName>
    <definedName name="OutDom1">DATE(AnoDoCalendário,10,1)-WEEKDAY(DATE(AnoDoCalendário,10,1))</definedName>
    <definedName name="s">'JUL-AGO'!$C$1</definedName>
    <definedName name="SetDom1" localSheetId="1">DATE('JUL-AGO'!AnoDoCalendário,9,1)-WEEKDAY(DATE('JUL-AGO'!AnoDoCalendário,9,1))</definedName>
    <definedName name="SetDom1" localSheetId="3">DATE('NOV-DEZ'!AnoDoCalendário,9,1)-WEEKDAY(DATE('NOV-DEZ'!AnoDoCalendário,9,1))</definedName>
    <definedName name="SetDom1" localSheetId="2">DATE('SET-OUT'!AnoDoCalendário,9,1)-WEEKDAY(DATE('SET-OUT'!AnoDoCalendário,9,1))</definedName>
    <definedName name="SetDom1">DATE(AnoDoCalendário,9,1)-WEEKDAY(DATE(AnoDoCalendário,9,1))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7" l="1"/>
  <c r="P11" i="7"/>
  <c r="O11" i="7"/>
  <c r="N11" i="7"/>
  <c r="M11" i="7"/>
  <c r="L11" i="7"/>
  <c r="K11" i="7"/>
  <c r="I11" i="7"/>
  <c r="H11" i="7"/>
  <c r="G11" i="7"/>
  <c r="F11" i="7"/>
  <c r="E11" i="7"/>
  <c r="D11" i="7"/>
  <c r="C11" i="7"/>
  <c r="Q10" i="7"/>
  <c r="P10" i="7"/>
  <c r="O10" i="7"/>
  <c r="N10" i="7"/>
  <c r="M10" i="7"/>
  <c r="L10" i="7"/>
  <c r="K10" i="7"/>
  <c r="I10" i="7"/>
  <c r="H10" i="7"/>
  <c r="G10" i="7"/>
  <c r="F10" i="7"/>
  <c r="E10" i="7"/>
  <c r="D10" i="7"/>
  <c r="C10" i="7"/>
  <c r="Q9" i="7"/>
  <c r="P9" i="7"/>
  <c r="O9" i="7"/>
  <c r="N9" i="7"/>
  <c r="M9" i="7"/>
  <c r="L9" i="7"/>
  <c r="K9" i="7"/>
  <c r="I9" i="7"/>
  <c r="H9" i="7"/>
  <c r="G9" i="7"/>
  <c r="F9" i="7"/>
  <c r="E9" i="7"/>
  <c r="D9" i="7"/>
  <c r="C9" i="7"/>
  <c r="Q8" i="7"/>
  <c r="P8" i="7"/>
  <c r="O8" i="7"/>
  <c r="N8" i="7"/>
  <c r="M8" i="7"/>
  <c r="L8" i="7"/>
  <c r="K8" i="7"/>
  <c r="I8" i="7"/>
  <c r="H8" i="7"/>
  <c r="G8" i="7"/>
  <c r="F8" i="7"/>
  <c r="E8" i="7"/>
  <c r="D8" i="7"/>
  <c r="C8" i="7"/>
  <c r="Q7" i="7"/>
  <c r="P7" i="7"/>
  <c r="O7" i="7"/>
  <c r="N7" i="7"/>
  <c r="M7" i="7"/>
  <c r="L7" i="7"/>
  <c r="K7" i="7"/>
  <c r="I7" i="7"/>
  <c r="H7" i="7"/>
  <c r="G7" i="7"/>
  <c r="F7" i="7"/>
  <c r="E7" i="7"/>
  <c r="D7" i="7"/>
  <c r="C7" i="7"/>
  <c r="Q6" i="7"/>
  <c r="P6" i="7"/>
  <c r="O6" i="7"/>
  <c r="N6" i="7"/>
  <c r="M6" i="7"/>
  <c r="L6" i="7"/>
  <c r="K6" i="7"/>
  <c r="I6" i="7"/>
  <c r="H6" i="7"/>
  <c r="G6" i="7"/>
  <c r="F6" i="7"/>
  <c r="E6" i="7"/>
  <c r="D6" i="7"/>
  <c r="C6" i="7"/>
  <c r="Q11" i="4" l="1"/>
  <c r="P11" i="4"/>
  <c r="O11" i="4"/>
  <c r="N11" i="4"/>
  <c r="M11" i="4"/>
  <c r="L11" i="4"/>
  <c r="K11" i="4"/>
  <c r="I11" i="4"/>
  <c r="H11" i="4"/>
  <c r="G11" i="4"/>
  <c r="F11" i="4"/>
  <c r="E11" i="4"/>
  <c r="D11" i="4"/>
  <c r="C11" i="4"/>
  <c r="Q10" i="4"/>
  <c r="P10" i="4"/>
  <c r="O10" i="4"/>
  <c r="N10" i="4"/>
  <c r="M10" i="4"/>
  <c r="L10" i="4"/>
  <c r="K10" i="4"/>
  <c r="I10" i="4"/>
  <c r="H10" i="4"/>
  <c r="G10" i="4"/>
  <c r="F10" i="4"/>
  <c r="E10" i="4"/>
  <c r="D10" i="4"/>
  <c r="C10" i="4"/>
  <c r="Q9" i="4"/>
  <c r="P9" i="4"/>
  <c r="O9" i="4"/>
  <c r="N9" i="4"/>
  <c r="M9" i="4"/>
  <c r="L9" i="4"/>
  <c r="K9" i="4"/>
  <c r="I9" i="4"/>
  <c r="H9" i="4"/>
  <c r="G9" i="4"/>
  <c r="F9" i="4"/>
  <c r="E9" i="4"/>
  <c r="D9" i="4"/>
  <c r="C9" i="4"/>
  <c r="Q8" i="4"/>
  <c r="P8" i="4"/>
  <c r="O8" i="4"/>
  <c r="N8" i="4"/>
  <c r="M8" i="4"/>
  <c r="L8" i="4"/>
  <c r="K8" i="4"/>
  <c r="I8" i="4"/>
  <c r="H8" i="4"/>
  <c r="G8" i="4"/>
  <c r="F8" i="4"/>
  <c r="E8" i="4"/>
  <c r="D8" i="4"/>
  <c r="C8" i="4"/>
  <c r="Q7" i="4"/>
  <c r="P7" i="4"/>
  <c r="O7" i="4"/>
  <c r="N7" i="4"/>
  <c r="M7" i="4"/>
  <c r="L7" i="4"/>
  <c r="K7" i="4"/>
  <c r="I7" i="4"/>
  <c r="H7" i="4"/>
  <c r="G7" i="4"/>
  <c r="F7" i="4"/>
  <c r="E7" i="4"/>
  <c r="D7" i="4"/>
  <c r="C7" i="4"/>
  <c r="Q6" i="4"/>
  <c r="P6" i="4"/>
  <c r="O6" i="4"/>
  <c r="N6" i="4"/>
  <c r="M6" i="4"/>
  <c r="L6" i="4"/>
  <c r="K6" i="4"/>
  <c r="I6" i="4"/>
  <c r="H6" i="4"/>
  <c r="G6" i="4"/>
  <c r="F6" i="4"/>
  <c r="E6" i="4"/>
  <c r="D6" i="4"/>
  <c r="C6" i="4"/>
  <c r="Q11" i="3"/>
  <c r="P11" i="3"/>
  <c r="O11" i="3"/>
  <c r="N11" i="3"/>
  <c r="M11" i="3"/>
  <c r="L11" i="3"/>
  <c r="K11" i="3"/>
  <c r="I11" i="3"/>
  <c r="H11" i="3"/>
  <c r="G11" i="3"/>
  <c r="F11" i="3"/>
  <c r="E11" i="3"/>
  <c r="D11" i="3"/>
  <c r="C11" i="3"/>
  <c r="Q10" i="3"/>
  <c r="P10" i="3"/>
  <c r="O10" i="3"/>
  <c r="N10" i="3"/>
  <c r="M10" i="3"/>
  <c r="L10" i="3"/>
  <c r="K10" i="3"/>
  <c r="I10" i="3"/>
  <c r="H10" i="3"/>
  <c r="G10" i="3"/>
  <c r="F10" i="3"/>
  <c r="E10" i="3"/>
  <c r="D10" i="3"/>
  <c r="C10" i="3"/>
  <c r="Q9" i="3"/>
  <c r="P9" i="3"/>
  <c r="O9" i="3"/>
  <c r="N9" i="3"/>
  <c r="M9" i="3"/>
  <c r="L9" i="3"/>
  <c r="K9" i="3"/>
  <c r="I9" i="3"/>
  <c r="H9" i="3"/>
  <c r="G9" i="3"/>
  <c r="F9" i="3"/>
  <c r="E9" i="3"/>
  <c r="D9" i="3"/>
  <c r="C9" i="3"/>
  <c r="Q8" i="3"/>
  <c r="P8" i="3"/>
  <c r="O8" i="3"/>
  <c r="N8" i="3"/>
  <c r="M8" i="3"/>
  <c r="L8" i="3"/>
  <c r="K8" i="3"/>
  <c r="I8" i="3"/>
  <c r="H8" i="3"/>
  <c r="G8" i="3"/>
  <c r="F8" i="3"/>
  <c r="E8" i="3"/>
  <c r="D8" i="3"/>
  <c r="C8" i="3"/>
  <c r="Q7" i="3"/>
  <c r="P7" i="3"/>
  <c r="O7" i="3"/>
  <c r="N7" i="3"/>
  <c r="M7" i="3"/>
  <c r="L7" i="3"/>
  <c r="K7" i="3"/>
  <c r="I7" i="3"/>
  <c r="H7" i="3"/>
  <c r="G7" i="3"/>
  <c r="F7" i="3"/>
  <c r="E7" i="3"/>
  <c r="D7" i="3"/>
  <c r="C7" i="3"/>
  <c r="Q6" i="3"/>
  <c r="P6" i="3"/>
  <c r="O6" i="3"/>
  <c r="N6" i="3"/>
  <c r="M6" i="3"/>
  <c r="L6" i="3"/>
  <c r="K6" i="3"/>
  <c r="I6" i="3"/>
  <c r="H6" i="3"/>
  <c r="G6" i="3"/>
  <c r="F6" i="3"/>
  <c r="E6" i="3"/>
  <c r="D6" i="3"/>
  <c r="C6" i="3"/>
</calcChain>
</file>

<file path=xl/comments1.xml><?xml version="1.0" encoding="utf-8"?>
<comments xmlns="http://schemas.openxmlformats.org/spreadsheetml/2006/main">
  <authors>
    <author>Carlos Eduardo Simões Fonseca</author>
  </authors>
  <commentList>
    <comment ref="H15" authorId="0" shapeId="0">
      <text>
        <r>
          <rPr>
            <sz val="9"/>
            <color indexed="81"/>
            <rFont val="Segoe UI"/>
            <family val="2"/>
          </rPr>
          <t>Ofereça Descontos em Consultorias de arquitetura.</t>
        </r>
      </text>
    </comment>
    <comment ref="O15" authorId="0" shapeId="0">
      <text>
        <r>
          <rPr>
            <sz val="9"/>
            <color indexed="81"/>
            <rFont val="Segoe UI"/>
            <family val="2"/>
          </rPr>
          <t xml:space="preserve">Ofereça descontos para quem levar suas roupas para lavar e tingir na sua loja de tinturaria.
</t>
        </r>
      </text>
    </comment>
    <comment ref="H16" authorId="0" shapeId="0">
      <text>
        <r>
          <rPr>
            <sz val="9"/>
            <color indexed="81"/>
            <rFont val="Segoe UI"/>
            <family val="2"/>
          </rPr>
          <t>Realizar campanhas de doação de sangue ou arrecadação de recursos para hospitais locais, e divulgar em redes sociais e mídias locais</t>
        </r>
      </text>
    </comment>
    <comment ref="O16" authorId="0" shapeId="0">
      <text>
        <r>
          <rPr>
            <sz val="9"/>
            <color indexed="81"/>
            <rFont val="Segoe UI"/>
            <family val="2"/>
          </rPr>
          <t xml:space="preserve">Promova um happy hour em seu bar ou pub com descontos especiais em cervejas artesanais.
</t>
        </r>
      </text>
    </comment>
    <comment ref="H17" authorId="0" shapeId="0">
      <text>
        <r>
          <rPr>
            <sz val="9"/>
            <color indexed="81"/>
            <rFont val="Segoe UI"/>
            <family val="2"/>
          </rPr>
          <t>Realize homenagens para bombeiros.</t>
        </r>
      </text>
    </comment>
    <comment ref="O17" authorId="0" shapeId="0">
      <text>
        <r>
          <rPr>
            <sz val="9"/>
            <color indexed="81"/>
            <rFont val="Segoe UI"/>
            <family val="2"/>
          </rPr>
          <t xml:space="preserve">Faça uma promoção para quem comprar medicamentos com receita médica, oferecendo brindes ou descontos em produtos da loja.
</t>
        </r>
      </text>
    </comment>
    <comment ref="H18" authorId="0" shapeId="0">
      <text>
        <r>
          <rPr>
            <sz val="9"/>
            <color indexed="81"/>
            <rFont val="Segoe UI"/>
            <family val="2"/>
          </rPr>
          <t xml:space="preserve">Promover pratos típicos da culinária mineira e oferecer descontos especiais para incentivar as pessoas a experimentarem.
</t>
        </r>
      </text>
    </comment>
    <comment ref="O18" authorId="0" shapeId="0">
      <text>
        <r>
          <rPr>
            <sz val="9"/>
            <color indexed="81"/>
            <rFont val="Segoe UI"/>
            <family val="2"/>
          </rPr>
          <t xml:space="preserve">Ofereça serviços gratuitos de aferição de pressão arterial e glicemia para atrair clientes para sua farmácia ou consultório.
</t>
        </r>
      </text>
    </comment>
    <comment ref="H19" authorId="0" shapeId="0">
      <text>
        <r>
          <rPr>
            <sz val="9"/>
            <color indexed="81"/>
            <rFont val="Segoe UI"/>
            <family val="2"/>
          </rPr>
          <t xml:space="preserve">Dia Mundial do Chocolate - 07/07
Criar promoções especiais para produtos relacionados ao chocolate e compartilhar receitas e curiosidades nas redes sociais.
</t>
        </r>
      </text>
    </comment>
    <comment ref="O19" authorId="0" shapeId="0">
      <text>
        <r>
          <rPr>
            <sz val="9"/>
            <color indexed="81"/>
            <rFont val="Segoe UI"/>
            <family val="2"/>
          </rPr>
          <t xml:space="preserve">Ofereça uma consulta gratuita para atrair clientes para o seu escritório de advocacia.
</t>
        </r>
      </text>
    </comment>
    <comment ref="H20" authorId="0" shapeId="0">
      <text>
        <r>
          <rPr>
            <sz val="9"/>
            <color indexed="81"/>
            <rFont val="Segoe UI"/>
            <family val="2"/>
          </rPr>
          <t xml:space="preserve">Oferecer descontos para produtos de panificação e compartilhar curiosidades sobre a profissão nas redes sociais.
</t>
        </r>
      </text>
    </comment>
    <comment ref="O20" authorId="0" shapeId="0">
      <text>
        <r>
          <rPr>
            <sz val="9"/>
            <color indexed="81"/>
            <rFont val="Segoe UI"/>
            <family val="2"/>
          </rPr>
          <t xml:space="preserve">Ofereça descontos especiais para estudantes em seus produtos ou serviços.
</t>
        </r>
      </text>
    </comment>
    <comment ref="H21" authorId="0" shapeId="0">
      <text>
        <r>
          <rPr>
            <sz val="9"/>
            <color indexed="81"/>
            <rFont val="Segoe UI"/>
            <family val="2"/>
          </rPr>
          <t xml:space="preserve">Criar promoções especiais para pizzas e divulgar em redes sociais, e fazer parcerias com empresas relacionadas.
</t>
        </r>
      </text>
    </comment>
    <comment ref="O21" authorId="0" shapeId="0">
      <text>
        <r>
          <rPr>
            <sz val="9"/>
            <color indexed="81"/>
            <rFont val="Segoe UI"/>
            <family val="2"/>
          </rPr>
          <t xml:space="preserve">Faça uma promoção para quem deixar uma avaliação positiva sobre o atendimento do garçom em sua lanchonete ou restaurante.
</t>
        </r>
      </text>
    </comment>
    <comment ref="H22" authorId="0" shapeId="0">
      <text>
        <r>
          <rPr>
            <sz val="9"/>
            <color indexed="81"/>
            <rFont val="Segoe UI"/>
            <family val="2"/>
          </rPr>
          <t xml:space="preserve">Oferecer descontos em exames oftalmológicos e incentivar a prevenção e cuidados com a saúde ocular.
</t>
        </r>
      </text>
    </comment>
    <comment ref="O22" authorId="0" shapeId="0">
      <text>
        <r>
          <rPr>
            <sz val="9"/>
            <color indexed="81"/>
            <rFont val="Segoe UI"/>
            <family val="2"/>
          </rPr>
          <t xml:space="preserve">Ofereça consultas financeiras gratuitas ou com desconto para atrair clientes para a sua empresa de consultoria financeira.
</t>
        </r>
      </text>
    </comment>
    <comment ref="H23" authorId="0" shapeId="0">
      <text>
        <r>
          <rPr>
            <sz val="9"/>
            <color indexed="81"/>
            <rFont val="Segoe UI"/>
            <family val="2"/>
          </rPr>
          <t xml:space="preserve">Realizar homenagens aos socorristas locais e compartilhar dicas de primeiros socorros nas redes sociais.
</t>
        </r>
      </text>
    </comment>
    <comment ref="O23" authorId="0" shapeId="0">
      <text>
        <r>
          <rPr>
            <sz val="9"/>
            <color indexed="81"/>
            <rFont val="Segoe UI"/>
            <family val="2"/>
          </rPr>
          <t>Realizar campanhas de doação de sangue ou arrecadação de recursos para hospitais locais, e divulgar em redes sociais e mídias locais</t>
        </r>
      </text>
    </comment>
    <comment ref="H24" authorId="0" shapeId="0">
      <text>
        <r>
          <rPr>
            <sz val="9"/>
            <color indexed="81"/>
            <rFont val="Segoe UI"/>
            <family val="2"/>
          </rPr>
          <t xml:space="preserve">Realizar promoções especiais para produtos relacionados ao rock e compartilhar curiosidades e playlists nas redes sociais.
</t>
        </r>
      </text>
    </comment>
    <comment ref="O24" authorId="0" shapeId="0">
      <text>
        <r>
          <rPr>
            <sz val="9"/>
            <color indexed="81"/>
            <rFont val="Segoe UI"/>
            <family val="2"/>
          </rPr>
          <t xml:space="preserve">Faça uma campanha de prevenção de doenças cardíacas, oferecendo serviços de exames e consultas com desconto.
</t>
        </r>
      </text>
    </comment>
    <comment ref="H25" authorId="0" shapeId="0">
      <text>
        <r>
          <rPr>
            <sz val="9"/>
            <color indexed="81"/>
            <rFont val="Segoe UI"/>
            <family val="2"/>
          </rPr>
          <t xml:space="preserve">Faça um concurso de canto online para artistas independentes, com prêmios para os vencedores e divulgue nas redes sociais.
</t>
        </r>
      </text>
    </comment>
    <comment ref="O25" authorId="0" shapeId="0">
      <text>
        <r>
          <rPr>
            <sz val="9"/>
            <color indexed="81"/>
            <rFont val="Segoe UI"/>
            <family val="2"/>
          </rPr>
          <t xml:space="preserve">Ofereça descontos especiais para solteiros em serviços ou produtos que possam ser interessantes para eles.
</t>
        </r>
      </text>
    </comment>
    <comment ref="H26" authorId="0" shapeId="0">
      <text>
        <r>
          <rPr>
            <sz val="9"/>
            <color indexed="81"/>
            <rFont val="Segoe UI"/>
            <family val="2"/>
          </rPr>
          <t xml:space="preserve">Oferecer descontos em produtos de cuidados pessoais masculinos e promover a saúde masculina nas redes sociais.
</t>
        </r>
      </text>
    </comment>
    <comment ref="O26" authorId="0" shapeId="0">
      <text>
        <r>
          <rPr>
            <sz val="9"/>
            <color indexed="81"/>
            <rFont val="Segoe UI"/>
            <family val="2"/>
          </rPr>
          <t xml:space="preserve">Faça uma promoção de venda de produtos tecnológicos, oferecendo descontos especiais ou brindes.
</t>
        </r>
      </text>
    </comment>
    <comment ref="H27" authorId="0" shapeId="0">
      <text>
        <r>
          <rPr>
            <sz val="9"/>
            <color indexed="81"/>
            <rFont val="Segoe UI"/>
            <family val="2"/>
          </rPr>
          <t xml:space="preserve">Dia do Comerciante - 16/07
Oferecer descontos especiais para comerciantes e divulgar em redes sociais e mídias locais.
</t>
        </r>
      </text>
    </comment>
    <comment ref="O27" authorId="0" shapeId="0">
      <text>
        <r>
          <rPr>
            <sz val="9"/>
            <color indexed="81"/>
            <rFont val="Segoe UI"/>
            <family val="2"/>
          </rPr>
          <t xml:space="preserve">Promova um evento cultural, como uma palestra sobre filosofia, para atrair clientes para a sua livraria ou espaço cultural.
</t>
        </r>
      </text>
    </comment>
    <comment ref="H28" authorId="0" shapeId="0">
      <text>
        <r>
          <rPr>
            <sz val="9"/>
            <color indexed="81"/>
            <rFont val="Segoe UI"/>
            <family val="2"/>
          </rPr>
          <t xml:space="preserve">Realizar promoções para produtos de futebol e compartilhar curiosidades sobre o esporte nas redes sociais.
</t>
        </r>
      </text>
    </comment>
    <comment ref="O28" authorId="0" shapeId="0">
      <text>
        <r>
          <rPr>
            <sz val="9"/>
            <color indexed="81"/>
            <rFont val="Segoe UI"/>
            <family val="2"/>
          </rPr>
          <t xml:space="preserve">Ofereça degustações de pão de queijo gratuitas em sua padaria ou lanchonete.
</t>
        </r>
      </text>
    </comment>
    <comment ref="H29" authorId="0" shapeId="0">
      <text>
        <r>
          <rPr>
            <sz val="9"/>
            <color indexed="81"/>
            <rFont val="Segoe UI"/>
            <family val="2"/>
          </rPr>
          <t xml:space="preserve">Criar promoções especiais para biscoitos e compartilhar receitas e curiosidades nas redes sociais. 
</t>
        </r>
      </text>
    </comment>
    <comment ref="O29" authorId="0" shapeId="0">
      <text>
        <r>
          <rPr>
            <sz val="9"/>
            <color indexed="81"/>
            <rFont val="Segoe UI"/>
            <family val="2"/>
          </rPr>
          <t xml:space="preserve">Faça uma campanha de contratação de estagiários para a sua empresa, oferecendo benefícios e vantagens.
</t>
        </r>
      </text>
    </comment>
    <comment ref="H30" authorId="0" shapeId="0">
      <text>
        <r>
          <rPr>
            <sz val="9"/>
            <color indexed="81"/>
            <rFont val="Segoe UI"/>
            <family val="2"/>
          </rPr>
          <t xml:space="preserve">Realize uma sessão de autógrafos online com um autor de renome e promova seu livro em suas redes sociais e na loja física.
</t>
        </r>
      </text>
    </comment>
    <comment ref="O30" authorId="0" shapeId="0">
      <text>
        <r>
          <rPr>
            <sz val="9"/>
            <color indexed="81"/>
            <rFont val="Segoe UI"/>
            <family val="2"/>
          </rPr>
          <t xml:space="preserve">Promova um concurso de fotografia em suas redes sociais, oferecendo prêmios para os vencedores.
</t>
        </r>
      </text>
    </comment>
    <comment ref="H31" authorId="0" shapeId="0">
      <text>
        <r>
          <rPr>
            <sz val="9"/>
            <color indexed="81"/>
            <rFont val="Segoe UI"/>
            <family val="2"/>
          </rPr>
          <t xml:space="preserve">Criar promoções especiais para presentes relacionados aos avós e compartilhar histórias e curiosidades sobre a data nas redes sociais.
</t>
        </r>
      </text>
    </comment>
    <comment ref="O31" authorId="0" shapeId="0">
      <text>
        <r>
          <rPr>
            <sz val="9"/>
            <color indexed="81"/>
            <rFont val="Segoe UI"/>
            <family val="2"/>
          </rPr>
          <t xml:space="preserve">Promova uma feira livre em sua cidade ou bairro, oferecendo descontos especiais em produtos de feirantes locais.
</t>
        </r>
      </text>
    </comment>
    <comment ref="H32" authorId="0" shapeId="0">
      <text>
        <r>
          <rPr>
            <sz val="9"/>
            <color indexed="81"/>
            <rFont val="Segoe UI"/>
            <family val="2"/>
          </rPr>
          <t xml:space="preserve">Criar promoções especiais para produtos relacionados a motocicletas e compartilhar dicas de segurança e cuidados nas redes sociais.
</t>
        </r>
      </text>
    </comment>
    <comment ref="O32" authorId="0" shapeId="0">
      <text>
        <r>
          <rPr>
            <sz val="9"/>
            <color indexed="81"/>
            <rFont val="Segoe UI"/>
            <family val="2"/>
          </rPr>
          <t xml:space="preserve">Faça uma campanha de conscientização sobre a importância da igualdade de gênero, oferecendo descontos em produtos para mulheres ou contrate mulheres em cargos de liderança.
</t>
        </r>
      </text>
    </comment>
    <comment ref="H33" authorId="0" shapeId="0">
      <text>
        <r>
          <rPr>
            <sz val="9"/>
            <color indexed="81"/>
            <rFont val="Segoe UI"/>
            <family val="2"/>
          </rPr>
          <t xml:space="preserve">Ofereça produtos agrícolas frescos com preços promocionais e crie conteúdo nas redes sociais destacando a importância dos agricultores locais.
</t>
        </r>
      </text>
    </comment>
    <comment ref="O33" authorId="0" shapeId="0">
      <text>
        <r>
          <rPr>
            <sz val="9"/>
            <color indexed="81"/>
            <rFont val="Segoe UI"/>
            <family val="2"/>
          </rPr>
          <t xml:space="preserve">Ofereça consultas gratuitas para quem estiver procurando um imóvel ou faça uma campanha de venda com descontos especiais.
</t>
        </r>
      </text>
    </comment>
    <comment ref="H34" authorId="0" shapeId="0">
      <text>
        <r>
          <rPr>
            <sz val="9"/>
            <color indexed="81"/>
            <rFont val="Segoe UI"/>
            <family val="2"/>
          </rPr>
          <t xml:space="preserve">Crie uma promoção do tipo "traga um amigo e ganhe desconto" em sua loja física ou online e divulgue nas redes sociais.
</t>
        </r>
      </text>
    </comment>
    <comment ref="O34" authorId="0" shapeId="0">
      <text>
        <r>
          <rPr>
            <sz val="9"/>
            <color indexed="81"/>
            <rFont val="Segoe UI"/>
            <family val="2"/>
          </rPr>
          <t xml:space="preserve">Faça uma campanha de conscientização sobre a importância da saúde mental, oferecendo consultas gratuitas ou com desconto.
</t>
        </r>
      </text>
    </comment>
    <comment ref="H35" authorId="0" shapeId="0">
      <text>
        <r>
          <rPr>
            <sz val="9"/>
            <color indexed="81"/>
            <rFont val="Segoe UI"/>
            <family val="2"/>
          </rPr>
          <t xml:space="preserve">Apoiar a causa ambiental e promover práticas sustentáveis em sua empresa/comércio através de campanhas nas redes sociais.
</t>
        </r>
      </text>
    </comment>
    <comment ref="O35" authorId="0" shapeId="0">
      <text>
        <r>
          <rPr>
            <sz val="9"/>
            <color indexed="81"/>
            <rFont val="Segoe UI"/>
            <family val="2"/>
          </rPr>
          <t xml:space="preserve">Faça uma promoção em sua loja de jogos ou videogames, oferecendo descontos especiais em jogos ou consoles.
</t>
        </r>
      </text>
    </comment>
    <comment ref="O36" authorId="0" shapeId="0">
      <text>
        <r>
          <rPr>
            <sz val="9"/>
            <color indexed="81"/>
            <rFont val="Segoe UI"/>
            <family val="2"/>
          </rPr>
          <t xml:space="preserve">Ofereça uma consulta gratuita ou com desconto para quem estiver interessado em melhorar a alimentação e a saúde.
</t>
        </r>
      </text>
    </comment>
  </commentList>
</comments>
</file>

<file path=xl/comments2.xml><?xml version="1.0" encoding="utf-8"?>
<comments xmlns="http://schemas.openxmlformats.org/spreadsheetml/2006/main">
  <authors>
    <author>Carlos Eduardo Simões Fonseca</author>
  </authors>
  <commentList>
    <comment ref="I15" authorId="0" shapeId="0">
      <text>
        <r>
          <rPr>
            <sz val="9"/>
            <color indexed="81"/>
            <rFont val="Segoe UI"/>
            <family val="2"/>
          </rPr>
          <t xml:space="preserve">Ofereça descontos em serviços de personal trainer, aulas de fitness em grupo ou planos de academia para professores de educação física. Realize sorteios em redes sociais e ofereça brindes como garrafas de água personalizadas ou camisetas de treino.
</t>
        </r>
      </text>
    </comment>
    <comment ref="Q15" authorId="0" shapeId="0">
      <text>
        <r>
          <rPr>
            <sz val="9"/>
            <color indexed="81"/>
            <rFont val="Segoe UI"/>
            <family val="2"/>
          </rPr>
          <t xml:space="preserve">Promova um evento musical em sua loja, com músicos locais ou escola de música da região. Ofereça descontos em instrumentos musicais.
</t>
        </r>
      </text>
    </comment>
    <comment ref="I16" authorId="0" shapeId="0">
      <text>
        <r>
          <rPr>
            <sz val="9"/>
            <color indexed="81"/>
            <rFont val="Segoe UI"/>
            <family val="2"/>
          </rPr>
          <t xml:space="preserve">Realize promoções em buquês, arranjos de flores e decoração para festas e eventos. Use as redes sociais para compartilhar imagens de suas criações e mostre como elas podem transformar espaços e eventos especiais. Considere a criação de pacotes especiais para ocasiões como casamentos, formaturas e eventos corporativos.
</t>
        </r>
      </text>
    </comment>
    <comment ref="Q16" authorId="0" shapeId="0">
      <text>
        <r>
          <rPr>
            <sz val="9"/>
            <color indexed="81"/>
            <rFont val="Segoe UI"/>
            <family val="2"/>
          </rPr>
          <t xml:space="preserve">Faça promoções exclusivas para os vendedores, oferecendo descontos em produtos ou serviços.
</t>
        </r>
      </text>
    </comment>
    <comment ref="I17" authorId="0" shapeId="0">
      <text>
        <r>
          <rPr>
            <sz val="9"/>
            <color indexed="81"/>
            <rFont val="Segoe UI"/>
            <family val="2"/>
          </rPr>
          <t xml:space="preserve">Compartilhe conteúdo relevante sobre conservação, meio ambiente e sustentabilidade nas redes sociais. Realize eventos como palestras e workshops sobre temas como biologia marinha, conservação de espécies e ecologia. Crie promoções em produtos e serviços que estejam relacionados à preservação ambiental e à biologia, como produtos orgânicos, ecoturismo e guias de campo. 
</t>
        </r>
      </text>
    </comment>
    <comment ref="Q17" authorId="0" shapeId="0">
      <text>
        <r>
          <rPr>
            <sz val="9"/>
            <color indexed="81"/>
            <rFont val="Segoe UI"/>
            <family val="2"/>
          </rPr>
          <t xml:space="preserve">Dia do cachorro - 04/10
Faça uma ação de adoção de cachorros em parceria com um abrigo local e ofereça descontos em produtos pet na sua loja.
</t>
        </r>
      </text>
    </comment>
    <comment ref="I18" authorId="0" shapeId="0">
      <text>
        <r>
          <rPr>
            <sz val="9"/>
            <color indexed="81"/>
            <rFont val="Segoe UI"/>
            <family val="2"/>
          </rPr>
          <t xml:space="preserve">Ofereça aulas experimentais gratuitas de Taekwondo para novos alunos. Realize promoções em pacotes de aulas e cursos de treinamento para alunos que se inscreverem no Dia Mundial do Taekwondo. Realize uma competição interna para alunos de Taekwondo, oferecendo prêmios como medalhas e troféus. Divulgue os eventos nas redes sociais e faça parcerias com outras escolas e organizações para ampliar a visibilidade do evento.
</t>
        </r>
      </text>
    </comment>
    <comment ref="Q18" authorId="0" shapeId="0">
      <text>
        <r>
          <rPr>
            <sz val="9"/>
            <color indexed="81"/>
            <rFont val="Segoe UI"/>
            <family val="2"/>
          </rPr>
          <t xml:space="preserve">Ofereça promoções em drinks e coquetéis no seu estabelecimento.
</t>
        </r>
      </text>
    </comment>
    <comment ref="I19" authorId="0" shapeId="0">
      <text>
        <r>
          <rPr>
            <sz val="9"/>
            <color indexed="81"/>
            <rFont val="Segoe UI"/>
            <family val="2"/>
          </rPr>
          <t xml:space="preserve">Ofereça descontos em serviços e produtos que possam ser divididos com um irmão, como pacotes de viagem, passeios em grupo, aulas em dupla, roupas e acessórios que tenham opções para ambos os sexos. Realize sorteios em redes sociais e ofereça brindes como camisetas com frases divertidas para irmãos, canecas personalizadas e porta-retratos.
</t>
        </r>
      </text>
    </comment>
    <comment ref="Q19" authorId="0" shapeId="0">
      <text>
        <r>
          <rPr>
            <sz val="9"/>
            <color indexed="81"/>
            <rFont val="Segoe UI"/>
            <family val="2"/>
          </rPr>
          <t xml:space="preserve">Faça uma ação em parceria com uma organização de preservação de aves, arrecadando fundos para a causa.
</t>
        </r>
      </text>
    </comment>
    <comment ref="I20" authorId="0" shapeId="0">
      <text>
        <r>
          <rPr>
            <sz val="9"/>
            <color indexed="81"/>
            <rFont val="Segoe UI"/>
            <family val="2"/>
          </rPr>
          <t xml:space="preserve">Promoção em lojas de roupas íntimas e sex shops, criação de produtos temáticos e divulgação nas redes sociais
</t>
        </r>
      </text>
    </comment>
    <comment ref="Q20" authorId="0" shapeId="0">
      <text>
        <r>
          <rPr>
            <sz val="9"/>
            <color indexed="81"/>
            <rFont val="Segoe UI"/>
            <family val="2"/>
          </rPr>
          <t xml:space="preserve">Ofereça descontos especiais em materiais escolares e livros didáticos para professores e divulgue nas redes sociais.
</t>
        </r>
      </text>
    </comment>
    <comment ref="I21" authorId="0" shapeId="0">
      <text>
        <r>
          <rPr>
            <sz val="9"/>
            <color indexed="81"/>
            <rFont val="Segoe UI"/>
            <family val="2"/>
          </rPr>
          <t xml:space="preserve">Promoção de combos com cachorro-quente e bebida em lanchonetes e food trucks, divulgação nas redes sociais.
</t>
        </r>
      </text>
    </comment>
    <comment ref="Q21" authorId="0" shapeId="0">
      <text>
        <r>
          <rPr>
            <sz val="9"/>
            <color indexed="81"/>
            <rFont val="Segoe UI"/>
            <family val="2"/>
          </rPr>
          <t xml:space="preserve">Divulgue histórias de sucesso de tecnólogos em sua área de atuação nas redes sociais, com a hashtag #SucessoComTecnologia.
</t>
        </r>
      </text>
    </comment>
    <comment ref="I22" authorId="0" shapeId="0">
      <text>
        <r>
          <rPr>
            <sz val="9"/>
            <color indexed="81"/>
            <rFont val="Segoe UI"/>
            <family val="2"/>
          </rPr>
          <t xml:space="preserve">Promoção de drinks com cachaça em bares e restaurantes, criação de produtos temáticos e divulgação nas redes.
</t>
        </r>
      </text>
    </comment>
    <comment ref="Q22" authorId="0" shapeId="0">
      <text>
        <r>
          <rPr>
            <sz val="9"/>
            <color indexed="81"/>
            <rFont val="Segoe UI"/>
            <family val="2"/>
          </rPr>
          <t xml:space="preserve">
Promova uma corrida ou caminhada para incentivar a prática esportiva na sua comunidade.
</t>
        </r>
      </text>
    </comment>
    <comment ref="I23" authorId="0" shapeId="0">
      <text>
        <r>
          <rPr>
            <sz val="9"/>
            <color indexed="81"/>
            <rFont val="Segoe UI"/>
            <family val="2"/>
          </rPr>
          <t xml:space="preserve">Promoção de cursos de programação e descontos em produtos relacionados à tecnologia, divulgação nas redes.
</t>
        </r>
      </text>
    </comment>
    <comment ref="Q23" authorId="0" shapeId="0">
      <text>
        <r>
          <rPr>
            <sz val="9"/>
            <color indexed="81"/>
            <rFont val="Segoe UI"/>
            <family val="2"/>
          </rPr>
          <t xml:space="preserve">Ofereça descontos em cortes especiais de carne e divulgue nas redes sociais com a hashtag #ChurrascoPerfeito.
</t>
        </r>
      </text>
    </comment>
    <comment ref="I24" authorId="0" shapeId="0">
      <text>
        <r>
          <rPr>
            <sz val="9"/>
            <color indexed="81"/>
            <rFont val="Segoe UI"/>
            <family val="2"/>
          </rPr>
          <t xml:space="preserve">Promoção de descontos exclusivos para clientes fiéis, agradecimento através de brindes personalizados.
</t>
        </r>
      </text>
    </comment>
    <comment ref="Q24" authorId="0" shapeId="0">
      <text>
        <r>
          <rPr>
            <sz val="9"/>
            <color indexed="81"/>
            <rFont val="Segoe UI"/>
            <family val="2"/>
          </rPr>
          <t xml:space="preserve">Faça uma ação solidária em parceria com uma organização que atenda pessoas com deficiência física.
</t>
        </r>
      </text>
    </comment>
    <comment ref="I25" authorId="0" shapeId="0">
      <text>
        <r>
          <rPr>
            <sz val="9"/>
            <color indexed="81"/>
            <rFont val="Segoe UI"/>
            <family val="2"/>
          </rPr>
          <t xml:space="preserve">Promoção de descontos em combustíveis, manutenção e serviços para caminhoneiros, divulgação nas estradas.
</t>
        </r>
      </text>
    </comment>
    <comment ref="Q25" authorId="0" shapeId="0">
      <text>
        <r>
          <rPr>
            <sz val="9"/>
            <color indexed="81"/>
            <rFont val="Segoe UI"/>
            <family val="2"/>
          </rPr>
          <t xml:space="preserve">Ofereça descontos em livros e faça uma campanha nas redes sociais para incentivar a leitura.
</t>
        </r>
      </text>
    </comment>
    <comment ref="I26" authorId="0" shapeId="0">
      <text>
        <r>
          <rPr>
            <sz val="9"/>
            <color indexed="81"/>
            <rFont val="Segoe UI"/>
            <family val="2"/>
          </rPr>
          <t xml:space="preserve">Promoção de descontos em aparelhos de televisão e pacotes de canais, criação de conteúdo temático.
</t>
        </r>
      </text>
    </comment>
    <comment ref="Q26" authorId="0" shapeId="0">
      <text>
        <r>
          <rPr>
            <sz val="9"/>
            <color indexed="81"/>
            <rFont val="Segoe UI"/>
            <family val="2"/>
          </rPr>
          <t xml:space="preserve">Ofereça avaliações gratuitas ou descontos em sessões de fisioterapia para novos pacientes.
</t>
        </r>
      </text>
    </comment>
    <comment ref="I27" authorId="0" shapeId="0">
      <text>
        <r>
          <rPr>
            <sz val="9"/>
            <color indexed="81"/>
            <rFont val="Segoe UI"/>
            <family val="2"/>
          </rPr>
          <t xml:space="preserve">Promoção de descontos exclusivos para compras realizadas na data, divulgação nas redes sociais.
</t>
        </r>
      </text>
    </comment>
    <comment ref="Q27" authorId="0" shapeId="0">
      <text>
        <r>
          <rPr>
            <sz val="9"/>
            <color indexed="81"/>
            <rFont val="Segoe UI"/>
            <family val="2"/>
          </rPr>
          <t xml:space="preserve">Realize ações valorizando o trabalho dos professores e ressaltando sua importância na sociedade. 
</t>
        </r>
      </text>
    </comment>
    <comment ref="I28" authorId="0" shapeId="0">
      <text>
        <r>
          <rPr>
            <sz val="9"/>
            <color indexed="81"/>
            <rFont val="Segoe UI"/>
            <family val="2"/>
          </rPr>
          <t xml:space="preserve">Promoção de produtos exclusivos para presentear tios, criação de conteúdo temático nas redes sociais.
</t>
        </r>
      </text>
    </comment>
    <comment ref="Q28" authorId="0" shapeId="0">
      <text>
        <r>
          <rPr>
            <sz val="9"/>
            <color indexed="81"/>
            <rFont val="Segoe UI"/>
            <family val="2"/>
          </rPr>
          <t xml:space="preserve">Ofereça descontos em pães especiais ou faça uma degustação gratuita de diferentes tipos de pão na sua loja.
</t>
        </r>
      </text>
    </comment>
    <comment ref="I29" authorId="0" shapeId="0">
      <text>
        <r>
          <rPr>
            <sz val="9"/>
            <color indexed="81"/>
            <rFont val="Segoe UI"/>
            <family val="2"/>
          </rPr>
          <t xml:space="preserve">Promoção de produtos orgânicos e artesanais produzidos em fazendas, criação de conteúdo temático.
</t>
        </r>
      </text>
    </comment>
    <comment ref="Q29" authorId="0" shapeId="0">
      <text>
        <r>
          <rPr>
            <sz val="9"/>
            <color indexed="81"/>
            <rFont val="Segoe UI"/>
            <family val="2"/>
          </rPr>
          <t xml:space="preserve">Faça uma playlist especial de músicas brasileiras em sua loja ou promova um evento musical com artistas locais.
</t>
        </r>
      </text>
    </comment>
    <comment ref="I30" authorId="0" shapeId="0">
      <text>
        <r>
          <rPr>
            <sz val="9"/>
            <color indexed="81"/>
            <rFont val="Segoe UI"/>
            <family val="2"/>
          </rPr>
          <t xml:space="preserve">Promoção de serviços de contabilidade, criação de conteúdo educativo nas redes sociais.
</t>
        </r>
      </text>
    </comment>
    <comment ref="Q30" authorId="0" shapeId="0">
      <text>
        <r>
          <rPr>
            <sz val="9"/>
            <color indexed="81"/>
            <rFont val="Segoe UI"/>
            <family val="2"/>
          </rPr>
          <t xml:space="preserve">Ofereça descontos em tintas e acessórios para pintura e promova um concurso de arte em sua loja.
</t>
        </r>
      </text>
    </comment>
    <comment ref="I31" authorId="0" shapeId="0">
      <text>
        <r>
          <rPr>
            <sz val="9"/>
            <color indexed="81"/>
            <rFont val="Segoe UI"/>
            <family val="2"/>
          </rPr>
          <t xml:space="preserve">Promoção de descontos em sorveterias, criação de sabores temáticos, divulgação nas redes sociais.
</t>
        </r>
      </text>
    </comment>
    <comment ref="Q31" authorId="0" shapeId="0">
      <text>
        <r>
          <rPr>
            <sz val="9"/>
            <color indexed="81"/>
            <rFont val="Segoe UI"/>
            <family val="2"/>
          </rPr>
          <t xml:space="preserve">Faça uma parceria com uma livraria local para oferecer descontos em livros relacionados ao seu negócio ou que possam interessar aos seus clientes. Promova uma tarde de autógrafos com um autor local e incentive a participação nas redes sociais com a hashtag #diadolivro.
</t>
        </r>
      </text>
    </comment>
    <comment ref="I32" authorId="0" shapeId="0">
      <text>
        <r>
          <rPr>
            <sz val="9"/>
            <color indexed="81"/>
            <rFont val="Segoe UI"/>
            <family val="2"/>
          </rPr>
          <t xml:space="preserve">Promoção de programas especiais nas rádios, sorteio de prêmios aos ouvintes, criação de conteúdo temático.
</t>
        </r>
      </text>
    </comment>
    <comment ref="Q32" authorId="0" shapeId="0">
      <text>
        <r>
          <rPr>
            <sz val="9"/>
            <color indexed="81"/>
            <rFont val="Segoe UI"/>
            <family val="2"/>
          </rPr>
          <t xml:space="preserve">Ofereça descontos em serviços odontológicos e divulgue nas redes sociais com a hashtag #SorrisoPerfeito.
</t>
        </r>
      </text>
    </comment>
    <comment ref="I33" authorId="0" shapeId="0">
      <text>
        <r>
          <rPr>
            <sz val="9"/>
            <color indexed="81"/>
            <rFont val="Segoe UI"/>
            <family val="2"/>
          </rPr>
          <t xml:space="preserve">Promoção de produtos exclusivos para presentear primos, criação de conteúdo temático nas redes sociais.
</t>
        </r>
      </text>
    </comment>
    <comment ref="Q33" authorId="0" shapeId="0">
      <text>
        <r>
          <rPr>
            <sz val="9"/>
            <color indexed="81"/>
            <rFont val="Segoe UI"/>
            <family val="2"/>
          </rPr>
          <t xml:space="preserve">Ofereça descontos especiais em serviços de conserto de calçados e divulgue nas redes sociais e em cartazes na sua loja. Incentive os clientes a trazerem seus calçados para conserto e ofereça brindes como chaveiros ou palmilhas.
</t>
        </r>
      </text>
    </comment>
    <comment ref="I34" authorId="0" shapeId="0">
      <text>
        <r>
          <rPr>
            <sz val="9"/>
            <color indexed="81"/>
            <rFont val="Segoe UI"/>
            <family val="2"/>
          </rPr>
          <t xml:space="preserve">Promoção de pacotes turísticos e descontos em hotéis e restaurantes, divulgação nas redes sociais.
</t>
        </r>
      </text>
    </comment>
    <comment ref="Q34" authorId="0" shapeId="0">
      <text>
        <r>
          <rPr>
            <sz val="9"/>
            <color indexed="81"/>
            <rFont val="Segoe UI"/>
            <family val="2"/>
          </rPr>
          <t>oferecer descontos em livros relacionados ao seu negócio ou que possam interessar aos seus clientes. Promova uma tarde de autógrafos com um autor local e incentive a participação nas redes sociais com a hashtag #diadolivro.</t>
        </r>
      </text>
    </comment>
    <comment ref="I35" authorId="0" shapeId="0">
      <text>
        <r>
          <rPr>
            <sz val="9"/>
            <color indexed="81"/>
            <rFont val="Segoe UI"/>
            <family val="2"/>
          </rPr>
          <t xml:space="preserve">Promoção de serviços de encanamento, criação de conteúdo educativo nas redes sociais.
</t>
        </r>
      </text>
    </comment>
    <comment ref="Q35" authorId="0" shapeId="0">
      <text>
        <r>
          <rPr>
            <sz val="9"/>
            <color indexed="81"/>
            <rFont val="Segoe UI"/>
            <family val="2"/>
          </rPr>
          <t xml:space="preserve">Realize um workshop ou palestra sobre dicas de decoração para a casa ou escritório e convide um especialista para falar sobre o assunto. Divulgue nas redes sociais e ofereça descontos em produtos de decoração na sua loja durante o evento. Crie um concurso de fotos da casa ou escritório mais bem decorado, incentivando a participação nas redes sociais com a hashtag #diadadecoração.
</t>
        </r>
      </text>
    </comment>
    <comment ref="I36" authorId="0" shapeId="0">
      <text>
        <r>
          <rPr>
            <sz val="9"/>
            <color indexed="81"/>
            <rFont val="Segoe UI"/>
            <family val="2"/>
          </rPr>
          <t xml:space="preserve">Promoção de brindes personalizados para secretárias, agradecimento e reconhecimento através de posts.
</t>
        </r>
      </text>
    </comment>
  </commentList>
</comments>
</file>

<file path=xl/comments3.xml><?xml version="1.0" encoding="utf-8"?>
<comments xmlns="http://schemas.openxmlformats.org/spreadsheetml/2006/main">
  <authors>
    <author>Carlos Eduardo Simões Fonseca</author>
  </authors>
  <commentList>
    <comment ref="J15" authorId="0" shapeId="0">
      <text>
        <r>
          <rPr>
            <sz val="9"/>
            <color indexed="81"/>
            <rFont val="Segoe UI"/>
            <family val="2"/>
          </rPr>
          <t xml:space="preserve">Faça uma parceria com restaurantes veganos locais e ofereça descontos exclusivos para seus clientes.
</t>
        </r>
      </text>
    </comment>
    <comment ref="Q15" authorId="0" shapeId="0">
      <text>
        <r>
          <rPr>
            <sz val="9"/>
            <color indexed="81"/>
            <rFont val="Segoe UI"/>
            <family val="2"/>
          </rPr>
          <t xml:space="preserve">Oferecer promoções especiais em produtos/serviços relacionados à cultura mineira, como por exemplo, pratos típicos da culinária mineira em restaurantes, produtos artesanais, dentre outros.
</t>
        </r>
      </text>
    </comment>
    <comment ref="J16" authorId="0" shapeId="0">
      <text>
        <r>
          <rPr>
            <sz val="9"/>
            <color indexed="81"/>
            <rFont val="Segoe UI"/>
            <family val="2"/>
          </rPr>
          <t xml:space="preserve">Reconheça a natureza significativa do Dia de Finados e seja sensível às emoções dos clientes. Mostre empatia em suas mensagens e comunicações, destacando que você entende a importância desse dia e que está disponível para atender às necessidades dos clientes de forma respeitosa.
</t>
        </r>
      </text>
    </comment>
    <comment ref="Q16" authorId="0" shapeId="0">
      <text>
        <r>
          <rPr>
            <sz val="9"/>
            <color indexed="81"/>
            <rFont val="Segoe UI"/>
            <family val="2"/>
          </rPr>
          <t xml:space="preserve">Promover eventos e palestras sobre astronomia e astrologia em lojas de artigos para camping e aventura, com divulgação nas redes sociais e convites para influenciadores que possam compartilhar o evento com seus seguidores.
</t>
        </r>
      </text>
    </comment>
    <comment ref="J17" authorId="0" shapeId="0">
      <text>
        <r>
          <rPr>
            <sz val="9"/>
            <color indexed="81"/>
            <rFont val="Segoe UI"/>
            <family val="2"/>
          </rPr>
          <t xml:space="preserve">Mostre o processo de criação de seus produtos em suas redes sociais e destaque o papel dos inventores na história.
</t>
        </r>
      </text>
    </comment>
    <comment ref="Q17" authorId="0" shapeId="0">
      <text>
        <r>
          <rPr>
            <sz val="9"/>
            <color indexed="81"/>
            <rFont val="Segoe UI"/>
            <family val="2"/>
          </rPr>
          <t xml:space="preserve">Oferecer descontos em serviços de segurança, como câmeras de vigilância, alarmes residenciais e monitoramento de segurança, para incentivar os consumidores a investirem em segurança para suas casas e empresas.
</t>
        </r>
      </text>
    </comment>
    <comment ref="J18" authorId="0" shapeId="0">
      <text>
        <r>
          <rPr>
            <sz val="9"/>
            <color indexed="81"/>
            <rFont val="Segoe UI"/>
            <family val="2"/>
          </rPr>
          <t xml:space="preserve">Ofereça um desconto especial em serviços de design gráfico, como criação de logotipos ou desenvolvimento de websites
</t>
        </r>
      </text>
    </comment>
    <comment ref="Q18" authorId="0" shapeId="0">
      <text>
        <r>
          <rPr>
            <sz val="9"/>
            <color indexed="81"/>
            <rFont val="Segoe UI"/>
            <family val="2"/>
          </rPr>
          <t xml:space="preserve">Realizar promoções especiais em serviços de marketing digital, como gestão de redes sociais, criação de anúncios online, otimização de SEO, para ajudar as empresas a melhorar sua visibilidade online e aumentar suas vendas.
</t>
        </r>
      </text>
    </comment>
    <comment ref="J19" authorId="0" shapeId="0">
      <text>
        <r>
          <rPr>
            <sz val="9"/>
            <color indexed="81"/>
            <rFont val="Segoe UI"/>
            <family val="2"/>
          </rPr>
          <t xml:space="preserve">Crie uma campanha de incentivo à leitura e promova obras de ficção científica e livros sobre arte e cultura.
</t>
        </r>
      </text>
    </comment>
    <comment ref="Q19" authorId="0" shapeId="0">
      <text>
        <r>
          <rPr>
            <sz val="9"/>
            <color indexed="81"/>
            <rFont val="Segoe UI"/>
            <family val="2"/>
          </rPr>
          <t xml:space="preserve">Incentivar a acessibilidade em estabelecimentos comerciais, como restaurantes, lojas e hotéis, oferecendo rampas de acesso para cadeirantes, cardápios em braile e outros recursos que facilitem a acessibilidade de pessoas com deficiência.
</t>
        </r>
      </text>
    </comment>
    <comment ref="J20" authorId="0" shapeId="0">
      <text>
        <r>
          <rPr>
            <sz val="9"/>
            <color indexed="81"/>
            <rFont val="Segoe UI"/>
            <family val="2"/>
          </rPr>
          <t xml:space="preserve">Crie um evento de comédia ou promova a visita de um comediante em seu estabelecimento para celebrar a data.
</t>
        </r>
      </text>
    </comment>
    <comment ref="Q20" authorId="0" shapeId="0">
      <text>
        <r>
          <rPr>
            <sz val="9"/>
            <color indexed="81"/>
            <rFont val="Segoe UI"/>
            <family val="2"/>
          </rPr>
          <t xml:space="preserve">Oferecer descontos especiais em produtos de ótica, como armações de óculos, lentes de contato, óculos de sol, e divulgar essas promoções nas redes sociais para atrair mais clientes.
</t>
        </r>
      </text>
    </comment>
    <comment ref="J21" authorId="0" shapeId="0">
      <text>
        <r>
          <rPr>
            <sz val="9"/>
            <color indexed="81"/>
            <rFont val="Segoe UI"/>
            <family val="2"/>
          </rPr>
          <t xml:space="preserve">Ofereça pacotes promocionais em hospedagem e refeições em seu hotel, destacando o conforto e o atendimento de qualidade.
</t>
        </r>
      </text>
    </comment>
    <comment ref="Q21" authorId="0" shapeId="0">
      <text>
        <r>
          <rPr>
            <sz val="9"/>
            <color indexed="81"/>
            <rFont val="Segoe UI"/>
            <family val="2"/>
          </rPr>
          <t xml:space="preserve">Realizar promoções especiais em serviços de arquitetura e decoração, como consultorias em design de interiores, projetos de arquitetura, dentre outros, para ajudar os clientes a renovarem seus ambientes e melhorar sua qualidade de vida.
</t>
        </r>
      </text>
    </comment>
    <comment ref="J22" authorId="0" shapeId="0">
      <text>
        <r>
          <rPr>
            <sz val="9"/>
            <color indexed="81"/>
            <rFont val="Segoe UI"/>
            <family val="2"/>
          </rPr>
          <t xml:space="preserve">Promova a venda de produtos à base de trigo, como pães, massas e bolos, e crie um concurso de receitas.
</t>
        </r>
      </text>
    </comment>
    <comment ref="Q22" authorId="0" shapeId="0">
      <text>
        <r>
          <rPr>
            <sz val="9"/>
            <color indexed="81"/>
            <rFont val="Segoe UI"/>
            <family val="2"/>
          </rPr>
          <t xml:space="preserve">Promover descontos em artigos esportivos em lojas de esportes, bem como oferecer aulas gratuitas de atividades físicas em academias ou ao ar livre, para incentivar as pessoas a praticarem exercícios físicos e cuidarem de sua saúde e bem-estar.
</t>
        </r>
      </text>
    </comment>
    <comment ref="J23" authorId="0" shapeId="0">
      <text>
        <r>
          <rPr>
            <sz val="9"/>
            <color indexed="81"/>
            <rFont val="Segoe UI"/>
            <family val="2"/>
          </rPr>
          <t xml:space="preserve">Ofereça descontos exclusivos em produtos selecionados e crie uma campanha de fidelidade para seus clientes.
</t>
        </r>
      </text>
    </comment>
    <comment ref="J24" authorId="0" shapeId="0">
      <text>
        <r>
          <rPr>
            <sz val="9"/>
            <color indexed="81"/>
            <rFont val="Segoe UI"/>
            <family val="2"/>
          </rPr>
          <t xml:space="preserve">Faça uma parceria com empresas de manutenção e venda de carros e ofereça descontos em serviços automotivos.
</t>
        </r>
      </text>
    </comment>
    <comment ref="J25" authorId="0" shapeId="0">
      <text>
        <r>
          <rPr>
            <sz val="9"/>
            <color indexed="81"/>
            <rFont val="Segoe UI"/>
            <family val="2"/>
          </rPr>
          <t xml:space="preserve">Mostre o processo de criação de seus produtos em suas redes sociais e destaque o papel dos inventores na história.
</t>
        </r>
      </text>
    </comment>
    <comment ref="J26" authorId="0" shapeId="0">
      <text>
        <r>
          <rPr>
            <sz val="9"/>
            <color indexed="81"/>
            <rFont val="Segoe UI"/>
            <family val="2"/>
          </rPr>
          <t xml:space="preserve">Realize uma apresentação de dança de rua ou um concurso de rap em seu estabelecimento, destacando a cultura do hip hop.
</t>
        </r>
      </text>
    </comment>
    <comment ref="J27" authorId="0" shapeId="0">
      <text>
        <r>
          <rPr>
            <sz val="9"/>
            <color indexed="81"/>
            <rFont val="Segoe UI"/>
            <family val="2"/>
          </rPr>
          <t xml:space="preserve">Promova a conscientização sobre a diabetes e compartilhe informações sobre alimentação saudável e atividade física.
</t>
        </r>
      </text>
    </comment>
    <comment ref="J28" authorId="0" shapeId="0">
      <text>
        <r>
          <rPr>
            <sz val="9"/>
            <color indexed="81"/>
            <rFont val="Segoe UI"/>
            <family val="2"/>
          </rPr>
          <t xml:space="preserve">Destaque suas melhores peças de joalheria em suas redes sociais e ofereça descontos exclusivos para seus clientes.
</t>
        </r>
      </text>
    </comment>
    <comment ref="J29" authorId="0" shapeId="0">
      <text>
        <r>
          <rPr>
            <sz val="9"/>
            <color indexed="81"/>
            <rFont val="Segoe UI"/>
            <family val="2"/>
          </rPr>
          <t xml:space="preserve">Crie um concurso de arte ou fotografia e promova a criatividade entre seus clientes e seguidores.
</t>
        </r>
      </text>
    </comment>
    <comment ref="J30" authorId="0" shapeId="0">
      <text>
        <r>
          <rPr>
            <sz val="9"/>
            <color indexed="81"/>
            <rFont val="Segoe UI"/>
            <family val="2"/>
          </rPr>
          <t xml:space="preserve">artilhe histórias de empreendedores de sucesso em suas redes sociais e ofereça mentorias ou palestras motivacionais.
</t>
        </r>
      </text>
    </comment>
    <comment ref="J31" authorId="0" shapeId="0">
      <text>
        <r>
          <rPr>
            <sz val="9"/>
            <color indexed="81"/>
            <rFont val="Segoe UI"/>
            <family val="2"/>
          </rPr>
          <t xml:space="preserve">Promova a conscientização sobre a importância da saúde e destaque o papel dos biomédicos em exames e diagnósticos.
</t>
        </r>
      </text>
    </comment>
    <comment ref="J32" authorId="0" shapeId="0">
      <text>
        <r>
          <rPr>
            <sz val="9"/>
            <color indexed="81"/>
            <rFont val="Segoe UI"/>
            <family val="2"/>
          </rPr>
          <t xml:space="preserve">Ofereça apresentações musicais em seu estabelecimento ou promova a venda de instrumentos musicais com descontos especiais.
</t>
        </r>
      </text>
    </comment>
    <comment ref="J33" authorId="0" shapeId="0">
      <text>
        <r>
          <rPr>
            <sz val="9"/>
            <color indexed="81"/>
            <rFont val="Segoe UI"/>
            <family val="2"/>
          </rPr>
          <t xml:space="preserve">Crie ofertas especiais e exclusivas para a Black Friday, oferecendo descontos atrativos em produtos selecionados ou pacotes promocionais. Certifique-se de que as ofertas sejam realmente vantajosas para atrair os consumidores.
</t>
        </r>
      </text>
    </comment>
    <comment ref="J34" authorId="0" shapeId="0">
      <text>
        <r>
          <rPr>
            <sz val="9"/>
            <color indexed="81"/>
            <rFont val="Segoe UI"/>
            <family val="2"/>
          </rPr>
          <t xml:space="preserve">Ofereça descontos em presentes para madrinhas de casamento e destaque a importância delas na vida das noivas.
</t>
        </r>
      </text>
    </comment>
    <comment ref="J35" authorId="0" shapeId="0">
      <text>
        <r>
          <rPr>
            <sz val="9"/>
            <color indexed="81"/>
            <rFont val="Segoe UI"/>
            <family val="2"/>
          </rPr>
          <t xml:space="preserve">Promova a conscientização sobre a segurança no trabalho e ofereça descontos em serviços de segurança e treinamento.
</t>
        </r>
      </text>
    </comment>
  </commentList>
</comments>
</file>

<file path=xl/connections.xml><?xml version="1.0" encoding="utf-8"?>
<connections xmlns="http://schemas.openxmlformats.org/spreadsheetml/2006/main">
  <connection id="1" keepAlive="1" name="Consulta - julho-agosto-2023" description="Conexão com a consulta 'julho-agosto-2023' na pasta de trabalho." type="5" refreshedVersion="6" background="1" saveData="1">
    <dbPr connection="Provider=Microsoft.Mashup.OleDb.1;Data Source=$Workbook$;Location=julho-agosto-2023;Extended Properties=&quot;&quot;" command="SELECT * FROM [julho-agosto-2023]"/>
  </connection>
  <connection id="2" keepAlive="1" name="Consulta - julho-agosto-2023 (2)" description="Conexão com a consulta 'julho-agosto-2023 (2)' na pasta de trabalho." type="5" refreshedVersion="6" background="1" saveData="1">
    <dbPr connection="Provider=Microsoft.Mashup.OleDb.1;Data Source=$Workbook$;Location=&quot;julho-agosto-2023 (2)&quot;;Extended Properties=&quot;&quot;" command="SELECT * FROM [julho-agosto-2023 (2)]"/>
  </connection>
  <connection id="3" keepAlive="1" name="Consulta - nov-dez-2023" description="Conexão com a consulta 'nov-dez-2023' na pasta de trabalho." type="5" refreshedVersion="6" background="1" saveData="1">
    <dbPr connection="Provider=Microsoft.Mashup.OleDb.1;Data Source=$Workbook$;Location=nov-dez-2023;Extended Properties=&quot;&quot;" command="SELECT * FROM [nov-dez-2023]"/>
  </connection>
  <connection id="4" keepAlive="1" name="Consulta - set-out-2023" description="Conexão com a consulta 'set-out-2023' na pasta de trabalho." type="5" refreshedVersion="6" background="1">
    <dbPr connection="Provider=Microsoft.Mashup.OleDb.1;Data Source=$Workbook$;Location=set-out-2023;Extended Properties=&quot;&quot;" command="SELECT * FROM [set-out-2023]"/>
  </connection>
  <connection id="5" keepAlive="1" name="Consulta - set-out-2023-3" description="Conexão com a consulta 'set-out-2023-3' na pasta de trabalho." type="5" refreshedVersion="6" background="1">
    <dbPr connection="Provider=Microsoft.Mashup.OleDb.1;Data Source=$Workbook$;Location=set-out-2023-3;Extended Properties=&quot;&quot;" command="SELECT * FROM [set-out-2023-3]"/>
  </connection>
  <connection id="6" keepAlive="1" name="Consulta - set-out-2023-4" description="Conexão com a consulta 'set-out-2023-4' na pasta de trabalho." type="5" refreshedVersion="6" background="1" saveData="1">
    <dbPr connection="Provider=Microsoft.Mashup.OleDb.1;Data Source=$Workbook$;Location=set-out-2023-4;Extended Properties=&quot;&quot;" command="SELECT * FROM [set-out-2023-4]"/>
  </connection>
</connections>
</file>

<file path=xl/sharedStrings.xml><?xml version="1.0" encoding="utf-8"?>
<sst xmlns="http://schemas.openxmlformats.org/spreadsheetml/2006/main" count="419" uniqueCount="162">
  <si>
    <t>DATAS IMPORTANTES</t>
  </si>
  <si>
    <t>Clique no controle giratório para alterar o ano do calendário</t>
  </si>
  <si>
    <t>Veja o exemplo de uma lojinha com cosméticos!</t>
  </si>
  <si>
    <t>JULHO</t>
  </si>
  <si>
    <t>AGOSTO</t>
  </si>
  <si>
    <t>Data comemorativa: Dia dos Avós</t>
  </si>
  <si>
    <t>DOM</t>
  </si>
  <si>
    <t>SEG</t>
  </si>
  <si>
    <t>TER</t>
  </si>
  <si>
    <t>QUA</t>
  </si>
  <si>
    <t>QUI</t>
  </si>
  <si>
    <t>SEX</t>
  </si>
  <si>
    <t>SÁB</t>
  </si>
  <si>
    <t>Ação proposta</t>
  </si>
  <si>
    <t>Desdobramento ação PESSOAS (TREINAMENTO?)</t>
  </si>
  <si>
    <t xml:space="preserve">Criar três combos de produtos para Avós e Avôs:
a) creme de barbear  (Avô)   +  hidratante para a pele  (Avó)
b) creme de barbear+ loção+perfume  (Avô)
c) escova cabelo + finalizador capilar </t>
  </si>
  <si>
    <t>Treinar a equipe para fazer venda sugestiva.
Treinar equipe para falar do gatilho de promoção.</t>
  </si>
  <si>
    <t>Desdobramento ação LOJA (VITRINE/ENTREGA?)</t>
  </si>
  <si>
    <t>Desdobramento ação DIGITAL (Mídia, Insta, Whats, Ecommerce?)</t>
  </si>
  <si>
    <t>Data</t>
  </si>
  <si>
    <t>Dia</t>
  </si>
  <si>
    <t>Dica</t>
  </si>
  <si>
    <t>Cartaz e tags de preço
Cartaz banner vitrine</t>
  </si>
  <si>
    <t>Copy whatsapp
Calendário de postagens Insta
Produção artes Insta</t>
  </si>
  <si>
    <t xml:space="preserve">Clique 
</t>
  </si>
  <si>
    <t>Dia Mundial do Chocolate</t>
  </si>
  <si>
    <t>Dia da Pizza</t>
  </si>
  <si>
    <t>Data comemorativa:</t>
  </si>
  <si>
    <t>Dia do Comerciante</t>
  </si>
  <si>
    <t>Dia do Feirante</t>
  </si>
  <si>
    <t>Dia do Motociclista</t>
  </si>
  <si>
    <t>Dia do Agricultor</t>
  </si>
  <si>
    <t>Veja o exemplo de um bar!</t>
  </si>
  <si>
    <t>SETEMBRO</t>
  </si>
  <si>
    <t>OUTUBRO</t>
  </si>
  <si>
    <t>Data comemorativa: Dia Nacional Da Cachaça</t>
  </si>
  <si>
    <t>Criar três opções de produtos :
a) Open Cachaças Mineiras
b) Novo Portifólio de Cachaças Artesanais 
c) Degustação de Cachaças para Venda.</t>
  </si>
  <si>
    <t>Treinar a equipe para fazer venda sugestiva.
Treinar equipe para conhecer  específicamente cada bebida.</t>
  </si>
  <si>
    <t>Dia do professor de educação física</t>
  </si>
  <si>
    <t>Dia do florista</t>
  </si>
  <si>
    <t>Dia do biólogo</t>
  </si>
  <si>
    <t>Dia mundial do Taekwondo</t>
  </si>
  <si>
    <t>Dia do irmão</t>
  </si>
  <si>
    <t>Dia do Sexo</t>
  </si>
  <si>
    <t>Dia do Cachorro-quente</t>
  </si>
  <si>
    <t>Dia Nacional da Cachaça</t>
  </si>
  <si>
    <t>Dia do Programador</t>
  </si>
  <si>
    <t>Dia do Cliente</t>
  </si>
  <si>
    <t>Dia do Caminhoneiro</t>
  </si>
  <si>
    <t>Dia da Televisão</t>
  </si>
  <si>
    <t>Dia do Comprador</t>
  </si>
  <si>
    <t>Dia do Professor</t>
  </si>
  <si>
    <t>Dia dos Tios</t>
  </si>
  <si>
    <t>Dia do Fazendeiro</t>
  </si>
  <si>
    <t>Dia do Contador</t>
  </si>
  <si>
    <t>Dia do Sorvete</t>
  </si>
  <si>
    <t>Dia do Rádio</t>
  </si>
  <si>
    <t>Dia dos Primos</t>
  </si>
  <si>
    <t>Dia do Turismo</t>
  </si>
  <si>
    <t>Dia do Encanador</t>
  </si>
  <si>
    <t>Dia da Secretaria</t>
  </si>
  <si>
    <t>Veja o exemplo de uma loja de Roupas!</t>
  </si>
  <si>
    <t>NOVEMBRO</t>
  </si>
  <si>
    <t>DEZEMBRO</t>
  </si>
  <si>
    <t xml:space="preserve">Data comemorativa: Natal </t>
  </si>
  <si>
    <t>Criar uma visualização de produtos:
a) Acessórios próximos aos caixas
b) Peças destaque na vitrine - e a peça destaque localizada ao fundo da loja ( Fazer o cliente se deslocar e analisar os produtos da loja)
c) Bancada com peças em ofertas</t>
  </si>
  <si>
    <t>Copy whatsapp
Calendário de postagens Insta
Produção artes / fotos</t>
  </si>
  <si>
    <t>Dia do veganismo</t>
  </si>
  <si>
    <t>Aniversário de MG</t>
  </si>
  <si>
    <t>Finados</t>
  </si>
  <si>
    <t>Dia da Astronomia</t>
  </si>
  <si>
    <t>Dia do inventor</t>
  </si>
  <si>
    <t>Dia do Delegado de Policia</t>
  </si>
  <si>
    <t>Dia do designer gráfico</t>
  </si>
  <si>
    <t>Dia Mundial da Propaganda</t>
  </si>
  <si>
    <t>Dia da cultura e ciência</t>
  </si>
  <si>
    <t>Dia da Acessibilidade</t>
  </si>
  <si>
    <t>Dia nacional do riso</t>
  </si>
  <si>
    <t>Dia do ótico</t>
  </si>
  <si>
    <t>Dia do hoteleiro</t>
  </si>
  <si>
    <t>Dia do Arquiteto</t>
  </si>
  <si>
    <t>Dia nacional do trigo</t>
  </si>
  <si>
    <t>Dia do Atleta</t>
  </si>
  <si>
    <t>Dia do supermercado</t>
  </si>
  <si>
    <t>Dia da indústria automobilí­stica</t>
  </si>
  <si>
    <t>Dia do Inventor</t>
  </si>
  <si>
    <t>Dia do hip hop</t>
  </si>
  <si>
    <t>Dia mundial da diabetes</t>
  </si>
  <si>
    <t>Dia do joalheiro</t>
  </si>
  <si>
    <t>Dia da criatividade</t>
  </si>
  <si>
    <t>Dia do empreendedorismo</t>
  </si>
  <si>
    <t>Dia do biomédico</t>
  </si>
  <si>
    <t>Dia do músico</t>
  </si>
  <si>
    <t>Black Friday</t>
  </si>
  <si>
    <t>Dia da madrinha</t>
  </si>
  <si>
    <t>Dia do técnico em segurança no trabalho</t>
  </si>
  <si>
    <t>Dia do Vendedor</t>
  </si>
  <si>
    <t>Dia Internacional de Não-Violência</t>
  </si>
  <si>
    <t>Dia do Profissional de Organização</t>
  </si>
  <si>
    <t>Dia da Natureza/ Dia do Barman</t>
  </si>
  <si>
    <t>Dia Nacional da Micro e Pequena Empresa/ Dia do Empreendedor</t>
  </si>
  <si>
    <t>Dia Mundial da Paralisia Celebral</t>
  </si>
  <si>
    <t>Dia do Açougueiro</t>
  </si>
  <si>
    <t>Dia Mundial da Saúde Mental/ Dia Nacional de Luta Contra a Violência da Mulher</t>
  </si>
  <si>
    <t>Dia de Nossa Senhora Aparecida/ Dia das Crianças</t>
  </si>
  <si>
    <t>Dia Mundial da Alimentação</t>
  </si>
  <si>
    <t>Dia da Agricultura/ Dia do Eletricista</t>
  </si>
  <si>
    <t>Dia do Médico/ Dia do Pintor</t>
  </si>
  <si>
    <t>Dia do Profissional de TI/ do Operador de caixa</t>
  </si>
  <si>
    <t>Dia do Maquinista/ Dia do Arquivista</t>
  </si>
  <si>
    <t>Dia do PodCast</t>
  </si>
  <si>
    <t>Dia do Aviador</t>
  </si>
  <si>
    <t>Dia Mundial do Macarrão</t>
  </si>
  <si>
    <t>Dia do Metroviário</t>
  </si>
  <si>
    <t>Dia do Servidor Público</t>
  </si>
  <si>
    <t>Dia Nacional do Livro/ Dia do Cerimonialista</t>
  </si>
  <si>
    <t>Dia do Comércio/ Dia do Balconista</t>
  </si>
  <si>
    <t>Dia das Bruxas (Halloween)</t>
  </si>
  <si>
    <t>Dia Mundial da Amamentação/ Dia Mundial do Câncer de Pulmão (comemora os que se curam da doença)</t>
  </si>
  <si>
    <t>Dia Internacional da Cerveja</t>
  </si>
  <si>
    <t>Dia do Tintureiro/ Dia do Capoeirista</t>
  </si>
  <si>
    <t>Dia Nacional da Saúde</t>
  </si>
  <si>
    <t>Dia Nacional dos Profissionais da Educação</t>
  </si>
  <si>
    <t>Dia Lei Maria da Penha (combate a violência contra a mulher)</t>
  </si>
  <si>
    <t>Dia Interamericano da Qualidade do Ar (2ª sexta-feira do mês)/ Dia Internacional dos Povos Indígenas</t>
  </si>
  <si>
    <t>Dia do Advogado/ Dia do Estudante/ Dia do Garçom</t>
  </si>
  <si>
    <t>Dia dos Pais</t>
  </si>
  <si>
    <t>Dia do Economista/ Dia do Psiquiatra</t>
  </si>
  <si>
    <t>Dia do Cardiologista</t>
  </si>
  <si>
    <t>Dia do Controle da Poluição Industrial</t>
  </si>
  <si>
    <t>Dia da Informática</t>
  </si>
  <si>
    <t>Dia do Auxiliar de Almoxarifado</t>
  </si>
  <si>
    <t>Dia do Estagiário</t>
  </si>
  <si>
    <t>Dia do Historiador/ Mundial da Fotografia</t>
  </si>
  <si>
    <t>Dia Nacional da Infância (o dia mundial é 21/03)</t>
  </si>
  <si>
    <t>Dia Internacional da Igualdade Feminina</t>
  </si>
  <si>
    <t>Dia do Psicólogo</t>
  </si>
  <si>
    <t>Dia dos Bancários/ Dia nacional do Voluntariado</t>
  </si>
  <si>
    <t>Dia Nacional da Visibilidade Lésbica/ Dia Nacional de Combate ao Fumo</t>
  </si>
  <si>
    <t>Dia do Nutricionista</t>
  </si>
  <si>
    <t>Dia Mundial da Arquitetura</t>
  </si>
  <si>
    <t>Dia Nacional de Combate à Discriminação Racial</t>
  </si>
  <si>
    <t>Dia do Operador De Marketing/ Telemarketing</t>
  </si>
  <si>
    <t>Dia Internacional do Cooperativismo ( há também 1º sábado de julho)</t>
  </si>
  <si>
    <t>Aniversário Sebrae</t>
  </si>
  <si>
    <t>Dia do Panificador</t>
  </si>
  <si>
    <t>Dia do Rock/ Dia do Cantor (há também em 27 de Setembro)</t>
  </si>
  <si>
    <t>Dia da Liberdade de Pensamento</t>
  </si>
  <si>
    <t>Dia de Proteção às Florestas</t>
  </si>
  <si>
    <t>Dia Internacional de Nelson Mandela</t>
  </si>
  <si>
    <t>Dia da Caridade</t>
  </si>
  <si>
    <t>Dia Nacional do Futebol</t>
  </si>
  <si>
    <t>Dia do Amigo (18 de abril também) / Dia Nacional do Biscoito</t>
  </si>
  <si>
    <t>Dia Internacional do Trabalho Doméstico</t>
  </si>
  <si>
    <t>Dia Internacional do Autocuidado</t>
  </si>
  <si>
    <t>Dia do Escritor/ Dia do Motorista</t>
  </si>
  <si>
    <t>Abertura das Olimpíadas de Paris 2024</t>
  </si>
  <si>
    <t>Dia Mundial dos Avós</t>
  </si>
  <si>
    <t>Boas-vindas</t>
  </si>
  <si>
    <t xml:space="preserve">Use a IA para te ajudar a criar ações de vendas. </t>
  </si>
  <si>
    <t>clique aqui para calendário com IA</t>
  </si>
  <si>
    <t>Calendário de Vendas 2024 - 2º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</si>
</sst>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R$&quot;\ * #,##0_-;\-&quot;R$&quot;\ * #,##0_-;_-&quot;R$&quot;\ * &quot;-&quot;_-;_-@_-"/>
    <numFmt numFmtId="44" formatCode="_-&quot;R$&quot;\ * #,##0.00_-;\-&quot;R$&quot;\ * #,##0.00_-;_-&quot;R$&quot;\ * &quot;-&quot;??_-;_-@_-"/>
    <numFmt numFmtId="164" formatCode="_(* #,##0_);_(* \(#,##0\);_(* &quot;-&quot;_);_(@_)"/>
    <numFmt numFmtId="165" formatCode="_(* #,##0.00_);_(* \(#,##0.00\);_(* &quot;-&quot;??_);_(@_)"/>
    <numFmt numFmtId="166" formatCode="d"/>
  </numFmts>
  <fonts count="49" x14ac:knownFonts="1">
    <font>
      <sz val="8"/>
      <color theme="1"/>
      <name val="Calibri"/>
      <family val="2"/>
      <scheme val="minor"/>
    </font>
    <font>
      <sz val="11"/>
      <color theme="1"/>
      <name val="Calibri"/>
      <family val="2"/>
      <scheme val="minor"/>
    </font>
    <font>
      <b/>
      <sz val="26"/>
      <color theme="0"/>
      <name val="Calibri"/>
      <family val="2"/>
      <scheme val="major"/>
    </font>
    <font>
      <sz val="8"/>
      <color theme="0"/>
      <name val="Calibri"/>
      <family val="2"/>
      <scheme val="minor"/>
    </font>
    <font>
      <b/>
      <sz val="13.5"/>
      <color theme="0"/>
      <name val="Calibri"/>
      <family val="2"/>
      <scheme val="major"/>
    </font>
    <font>
      <sz val="9"/>
      <color theme="1" tint="0.14999847407452621"/>
      <name val="Calibri"/>
      <family val="2"/>
      <scheme val="minor"/>
    </font>
    <font>
      <b/>
      <sz val="9.5"/>
      <color theme="8" tint="-0.499984740745262"/>
      <name val="Calibri"/>
      <family val="2"/>
      <scheme val="major"/>
    </font>
    <font>
      <b/>
      <sz val="8"/>
      <color theme="1" tint="0.34998626667073579"/>
      <name val="Calibri"/>
      <family val="2"/>
      <scheme val="minor"/>
    </font>
    <font>
      <b/>
      <sz val="13"/>
      <color theme="3"/>
      <name val="Calibri"/>
      <family val="2"/>
      <scheme val="minor"/>
    </font>
    <font>
      <b/>
      <sz val="11"/>
      <color theme="1"/>
      <name val="Calibri"/>
      <family val="2"/>
      <scheme val="minor"/>
    </font>
    <font>
      <sz val="11"/>
      <color theme="0"/>
      <name val="Calibri"/>
      <family val="2"/>
      <scheme val="minor"/>
    </font>
    <font>
      <b/>
      <sz val="16"/>
      <color theme="0"/>
      <name val="Calibri"/>
      <family val="2"/>
      <scheme val="major"/>
    </font>
    <font>
      <sz val="8"/>
      <color theme="1"/>
      <name val="Calibri"/>
      <family val="2"/>
      <scheme val="minor"/>
    </font>
    <font>
      <sz val="18"/>
      <color theme="3"/>
      <name val="Calibri"/>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10"/>
      <color rgb="FF002060"/>
      <name val="Calibri"/>
      <family val="2"/>
      <scheme val="minor"/>
    </font>
    <font>
      <b/>
      <sz val="9.5"/>
      <color rgb="FF002060"/>
      <name val="Calibri"/>
      <family val="2"/>
      <scheme val="major"/>
    </font>
    <font>
      <sz val="8"/>
      <color rgb="FF002060"/>
      <name val="Calibri"/>
      <family val="2"/>
      <scheme val="minor"/>
    </font>
    <font>
      <sz val="8"/>
      <color rgb="FFDC8424"/>
      <name val="Calibri"/>
      <family val="2"/>
      <scheme val="minor"/>
    </font>
    <font>
      <b/>
      <sz val="9"/>
      <color rgb="FF002060"/>
      <name val="Calibri"/>
      <family val="2"/>
      <scheme val="minor"/>
    </font>
    <font>
      <b/>
      <sz val="8"/>
      <color rgb="FF002060"/>
      <name val="Calibri"/>
      <family val="2"/>
      <scheme val="minor"/>
    </font>
    <font>
      <b/>
      <sz val="8"/>
      <color theme="0"/>
      <name val="Calibri"/>
      <family val="2"/>
      <scheme val="minor"/>
    </font>
    <font>
      <sz val="11"/>
      <color rgb="FF000000"/>
      <name val="Calibri"/>
      <family val="2"/>
      <scheme val="minor"/>
    </font>
    <font>
      <b/>
      <sz val="22"/>
      <color theme="0"/>
      <name val="Calibri"/>
      <family val="2"/>
      <scheme val="major"/>
    </font>
    <font>
      <sz val="28"/>
      <color theme="1"/>
      <name val="Calibri"/>
      <family val="2"/>
      <scheme val="minor"/>
    </font>
    <font>
      <b/>
      <sz val="28"/>
      <color theme="0"/>
      <name val="Calibri"/>
      <family val="2"/>
      <scheme val="minor"/>
    </font>
    <font>
      <b/>
      <sz val="12"/>
      <color theme="3" tint="-0.249977111117893"/>
      <name val="Calibri"/>
      <family val="2"/>
      <scheme val="minor"/>
    </font>
    <font>
      <sz val="9"/>
      <color theme="3" tint="-0.249977111117893"/>
      <name val="Calibri"/>
      <family val="2"/>
      <scheme val="minor"/>
    </font>
    <font>
      <sz val="8"/>
      <color rgb="FF0070C0"/>
      <name val="Calibri"/>
      <family val="2"/>
      <scheme val="minor"/>
    </font>
    <font>
      <sz val="8"/>
      <color theme="3" tint="-0.249977111117893"/>
      <name val="Calibri"/>
      <family val="2"/>
      <scheme val="minor"/>
    </font>
    <font>
      <b/>
      <sz val="9.5"/>
      <color theme="3" tint="-0.249977111117893"/>
      <name val="Calibri"/>
      <family val="2"/>
      <scheme val="major"/>
    </font>
    <font>
      <i/>
      <sz val="10"/>
      <color theme="3" tint="-0.249977111117893"/>
      <name val="Calibri"/>
      <family val="2"/>
      <scheme val="minor"/>
    </font>
    <font>
      <b/>
      <sz val="9"/>
      <color theme="0"/>
      <name val="Calibri"/>
      <family val="2"/>
      <scheme val="minor"/>
    </font>
    <font>
      <sz val="9"/>
      <color indexed="81"/>
      <name val="Segoe UI"/>
      <family val="2"/>
    </font>
    <font>
      <sz val="10"/>
      <color rgb="FF000000"/>
      <name val="Calibri"/>
      <family val="2"/>
      <scheme val="minor"/>
    </font>
    <font>
      <u/>
      <sz val="8"/>
      <color theme="10"/>
      <name val="Calibri"/>
      <family val="2"/>
      <scheme val="minor"/>
    </font>
    <font>
      <u/>
      <sz val="11"/>
      <color rgb="FF0070C0"/>
      <name val="Calibri"/>
      <family val="2"/>
      <scheme val="minor"/>
    </font>
    <font>
      <b/>
      <sz val="9"/>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00B0F0"/>
        <bgColor indexed="64"/>
      </patternFill>
    </fill>
    <fill>
      <patternFill patternType="solid">
        <fgColor rgb="FFDA64A7"/>
        <bgColor indexed="64"/>
      </patternFill>
    </fill>
    <fill>
      <patternFill patternType="solid">
        <fgColor theme="0"/>
        <bgColor theme="9"/>
      </patternFill>
    </fill>
    <fill>
      <patternFill patternType="solid">
        <fgColor theme="0"/>
        <bgColor theme="9" tint="0.79998168889431442"/>
      </patternFill>
    </fill>
    <fill>
      <patternFill patternType="solid">
        <fgColor rgb="FF0070C0"/>
        <bgColor indexed="64"/>
      </patternFill>
    </fill>
    <fill>
      <patternFill patternType="solid">
        <fgColor rgb="FFFFC000"/>
        <bgColor indexed="64"/>
      </patternFill>
    </fill>
  </fills>
  <borders count="41">
    <border>
      <left/>
      <right/>
      <top/>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2060"/>
      </right>
      <top/>
      <bottom/>
      <diagonal/>
    </border>
    <border>
      <left/>
      <right/>
      <top/>
      <bottom style="thin">
        <color rgb="FF002060"/>
      </bottom>
      <diagonal/>
    </border>
    <border>
      <left/>
      <right style="thin">
        <color rgb="FF002060"/>
      </right>
      <top style="thin">
        <color rgb="FF002060"/>
      </top>
      <bottom/>
      <diagonal/>
    </border>
    <border>
      <left/>
      <right style="thin">
        <color rgb="FF002060"/>
      </right>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top style="thin">
        <color rgb="FF002060"/>
      </top>
      <bottom/>
      <diagonal/>
    </border>
    <border>
      <left/>
      <right/>
      <top style="thin">
        <color rgb="FF002060"/>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style="thin">
        <color theme="9" tint="0.39997558519241921"/>
      </top>
      <bottom/>
      <diagonal/>
    </border>
    <border>
      <left style="thin">
        <color theme="9" tint="0.39997558519241921"/>
      </left>
      <right/>
      <top/>
      <bottom/>
      <diagonal/>
    </border>
    <border>
      <left/>
      <right style="thin">
        <color rgb="FFDC8424"/>
      </right>
      <top style="thin">
        <color theme="9" tint="0.39997558519241921"/>
      </top>
      <bottom style="thin">
        <color theme="9" tint="0.39997558519241921"/>
      </bottom>
      <diagonal/>
    </border>
    <border>
      <left style="thin">
        <color rgb="FFDC8424"/>
      </left>
      <right/>
      <top style="thin">
        <color theme="9" tint="0.39997558519241921"/>
      </top>
      <bottom style="thin">
        <color theme="9" tint="0.39997558519241921"/>
      </bottom>
      <diagonal/>
    </border>
    <border>
      <left/>
      <right style="thin">
        <color theme="9" tint="0.39997558519241921"/>
      </right>
      <top style="thin">
        <color theme="9" tint="0.39997558519241921"/>
      </top>
      <bottom/>
      <diagonal/>
    </border>
    <border>
      <left/>
      <right style="thin">
        <color theme="9" tint="0.39997558519241921"/>
      </right>
      <top/>
      <bottom/>
      <diagonal/>
    </border>
    <border>
      <left style="thin">
        <color theme="9" tint="0.39997558519241921"/>
      </left>
      <right/>
      <top style="thin">
        <color theme="9" tint="0.39997558519241921"/>
      </top>
      <bottom/>
      <diagonal/>
    </border>
    <border>
      <left/>
      <right/>
      <top/>
      <bottom style="thin">
        <color rgb="FFDC8424"/>
      </bottom>
      <diagonal/>
    </border>
  </borders>
  <cellStyleXfs count="49">
    <xf numFmtId="0" fontId="0" fillId="0" borderId="0"/>
    <xf numFmtId="0" fontId="8" fillId="0" borderId="1" applyNumberFormat="0" applyFill="0" applyAlignment="0" applyProtection="0"/>
    <xf numFmtId="165" fontId="12"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2" fillId="8" borderId="8" applyNumberFormat="0" applyFont="0" applyAlignment="0" applyProtection="0"/>
    <xf numFmtId="0" fontId="25" fillId="0" borderId="0" applyNumberFormat="0" applyFill="0" applyBorder="0" applyAlignment="0" applyProtection="0"/>
    <xf numFmtId="0" fontId="9" fillId="0" borderId="9" applyNumberFormat="0" applyFill="0" applyAlignment="0" applyProtection="0"/>
    <xf numFmtId="0" fontId="1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5" fillId="0" borderId="0"/>
    <xf numFmtId="0" fontId="46" fillId="0" borderId="0" applyNumberFormat="0" applyFill="0" applyBorder="0" applyAlignment="0" applyProtection="0"/>
  </cellStyleXfs>
  <cellXfs count="187">
    <xf numFmtId="0" fontId="0" fillId="0" borderId="0" xfId="0"/>
    <xf numFmtId="49" fontId="0" fillId="0" borderId="0" xfId="0" applyNumberFormat="1"/>
    <xf numFmtId="49" fontId="5" fillId="0" borderId="0" xfId="0" applyNumberFormat="1" applyFont="1" applyAlignment="1">
      <alignment horizontal="left"/>
    </xf>
    <xf numFmtId="0" fontId="7"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vertical="center"/>
    </xf>
    <xf numFmtId="166" fontId="0" fillId="0" borderId="0" xfId="0" applyNumberFormat="1" applyAlignment="1">
      <alignment horizontal="center"/>
    </xf>
    <xf numFmtId="0" fontId="0" fillId="0" borderId="19" xfId="0" applyBorder="1"/>
    <xf numFmtId="0" fontId="0" fillId="34" borderId="0" xfId="0" applyFill="1"/>
    <xf numFmtId="0" fontId="28" fillId="0" borderId="0" xfId="0" applyFont="1" applyAlignment="1">
      <alignment horizontal="center"/>
    </xf>
    <xf numFmtId="49" fontId="30" fillId="0" borderId="0" xfId="0" applyNumberFormat="1" applyFont="1" applyAlignment="1">
      <alignment wrapText="1"/>
    </xf>
    <xf numFmtId="0" fontId="28" fillId="0" borderId="0" xfId="0" applyFont="1"/>
    <xf numFmtId="0" fontId="31" fillId="0" borderId="0" xfId="0" applyFont="1"/>
    <xf numFmtId="0" fontId="3" fillId="34" borderId="0" xfId="0" applyFont="1" applyFill="1"/>
    <xf numFmtId="0" fontId="29" fillId="35" borderId="19" xfId="0" applyFont="1" applyFill="1" applyBorder="1"/>
    <xf numFmtId="166" fontId="29" fillId="35" borderId="19" xfId="0" applyNumberFormat="1" applyFont="1" applyFill="1" applyBorder="1" applyAlignment="1">
      <alignment horizontal="center"/>
    </xf>
    <xf numFmtId="0" fontId="0" fillId="35" borderId="0" xfId="0" applyFill="1"/>
    <xf numFmtId="0" fontId="28" fillId="35" borderId="0" xfId="0" applyFont="1" applyFill="1"/>
    <xf numFmtId="0" fontId="33" fillId="0" borderId="0" xfId="0" applyFont="1"/>
    <xf numFmtId="49" fontId="30" fillId="0" borderId="0" xfId="0" applyNumberFormat="1" applyFont="1"/>
    <xf numFmtId="0" fontId="0" fillId="0" borderId="14" xfId="0" applyBorder="1"/>
    <xf numFmtId="0" fontId="0" fillId="0" borderId="22" xfId="0" applyBorder="1"/>
    <xf numFmtId="0" fontId="0" fillId="0" borderId="22" xfId="0" applyBorder="1" applyAlignment="1">
      <alignment horizontal="center"/>
    </xf>
    <xf numFmtId="0" fontId="0" fillId="34" borderId="0" xfId="0" applyFill="1" applyAlignment="1">
      <alignment vertical="center"/>
    </xf>
    <xf numFmtId="0" fontId="0" fillId="35" borderId="0" xfId="0" applyFill="1" applyAlignment="1">
      <alignment horizontal="left" vertical="top"/>
    </xf>
    <xf numFmtId="0" fontId="32" fillId="36" borderId="29" xfId="0" applyFont="1" applyFill="1" applyBorder="1"/>
    <xf numFmtId="0" fontId="32" fillId="36" borderId="30" xfId="0" applyFont="1" applyFill="1" applyBorder="1"/>
    <xf numFmtId="0" fontId="32" fillId="36" borderId="31" xfId="0" applyFont="1" applyFill="1" applyBorder="1"/>
    <xf numFmtId="0" fontId="0" fillId="37" borderId="29" xfId="0" applyFill="1" applyBorder="1"/>
    <xf numFmtId="14" fontId="0" fillId="37" borderId="30" xfId="0" applyNumberFormat="1" applyFill="1" applyBorder="1"/>
    <xf numFmtId="0" fontId="0" fillId="37" borderId="31" xfId="0" applyFill="1" applyBorder="1"/>
    <xf numFmtId="0" fontId="0" fillId="0" borderId="29" xfId="0" applyBorder="1"/>
    <xf numFmtId="14" fontId="0" fillId="0" borderId="30" xfId="0" applyNumberFormat="1" applyBorder="1"/>
    <xf numFmtId="0" fontId="0" fillId="0" borderId="31" xfId="0" applyBorder="1"/>
    <xf numFmtId="0" fontId="0" fillId="37" borderId="0" xfId="0" applyFill="1"/>
    <xf numFmtId="14" fontId="0" fillId="37" borderId="0" xfId="0" applyNumberFormat="1" applyFill="1"/>
    <xf numFmtId="0" fontId="0" fillId="39" borderId="0" xfId="0" applyFill="1"/>
    <xf numFmtId="0" fontId="3" fillId="39" borderId="0" xfId="0" applyFont="1" applyFill="1"/>
    <xf numFmtId="0" fontId="3" fillId="34" borderId="0" xfId="0" applyFont="1" applyFill="1" applyAlignment="1">
      <alignment vertical="center"/>
    </xf>
    <xf numFmtId="0" fontId="3" fillId="35" borderId="0" xfId="0" applyFont="1" applyFill="1"/>
    <xf numFmtId="0" fontId="10" fillId="35" borderId="0" xfId="0" applyFont="1" applyFill="1" applyAlignment="1">
      <alignment vertical="center" wrapText="1"/>
    </xf>
    <xf numFmtId="0" fontId="3" fillId="35" borderId="0" xfId="0" applyFont="1" applyFill="1" applyAlignment="1">
      <alignment vertical="center"/>
    </xf>
    <xf numFmtId="0" fontId="0" fillId="38" borderId="0" xfId="0" applyFill="1"/>
    <xf numFmtId="166" fontId="3" fillId="38" borderId="0" xfId="0" applyNumberFormat="1" applyFont="1" applyFill="1" applyAlignment="1">
      <alignment horizontal="center"/>
    </xf>
    <xf numFmtId="0" fontId="3" fillId="38" borderId="0" xfId="0" applyFont="1" applyFill="1" applyAlignment="1">
      <alignment wrapText="1"/>
    </xf>
    <xf numFmtId="0" fontId="10" fillId="38" borderId="0" xfId="0" applyFont="1" applyFill="1" applyAlignment="1">
      <alignment vertical="center"/>
    </xf>
    <xf numFmtId="0" fontId="3" fillId="38" borderId="0" xfId="0" applyFont="1" applyFill="1"/>
    <xf numFmtId="0" fontId="10" fillId="38" borderId="22" xfId="0" applyFont="1" applyFill="1" applyBorder="1" applyAlignment="1">
      <alignment vertical="center"/>
    </xf>
    <xf numFmtId="0" fontId="33" fillId="0" borderId="31" xfId="0" applyFont="1" applyBorder="1"/>
    <xf numFmtId="166" fontId="32" fillId="38" borderId="0" xfId="0" applyNumberFormat="1" applyFont="1" applyFill="1" applyAlignment="1">
      <alignment horizontal="center"/>
    </xf>
    <xf numFmtId="49" fontId="37" fillId="0" borderId="0" xfId="0" applyNumberFormat="1" applyFont="1"/>
    <xf numFmtId="49" fontId="38" fillId="0" borderId="0" xfId="0" applyNumberFormat="1" applyFont="1"/>
    <xf numFmtId="0" fontId="40" fillId="0" borderId="0" xfId="0" applyFont="1"/>
    <xf numFmtId="0" fontId="40" fillId="0" borderId="0" xfId="0" applyFont="1" applyAlignment="1">
      <alignment horizontal="center"/>
    </xf>
    <xf numFmtId="49" fontId="43" fillId="39" borderId="0" xfId="0" applyNumberFormat="1" applyFont="1" applyFill="1" applyAlignment="1">
      <alignment wrapText="1"/>
    </xf>
    <xf numFmtId="49" fontId="3" fillId="39" borderId="0" xfId="0" applyNumberFormat="1" applyFont="1" applyFill="1"/>
    <xf numFmtId="0" fontId="3" fillId="38" borderId="14" xfId="0" applyFont="1" applyFill="1" applyBorder="1"/>
    <xf numFmtId="49" fontId="43" fillId="38" borderId="0" xfId="0" applyNumberFormat="1" applyFont="1" applyFill="1" applyAlignment="1">
      <alignment wrapText="1"/>
    </xf>
    <xf numFmtId="49" fontId="3" fillId="38" borderId="0" xfId="0" applyNumberFormat="1" applyFont="1" applyFill="1"/>
    <xf numFmtId="0" fontId="3" fillId="0" borderId="19" xfId="0" applyFont="1" applyBorder="1"/>
    <xf numFmtId="0" fontId="3" fillId="39" borderId="14" xfId="0" applyFont="1" applyFill="1" applyBorder="1"/>
    <xf numFmtId="0" fontId="40" fillId="35" borderId="0" xfId="0" applyFont="1" applyFill="1"/>
    <xf numFmtId="49" fontId="37" fillId="35" borderId="0" xfId="0" applyNumberFormat="1" applyFont="1" applyFill="1" applyAlignment="1">
      <alignment horizontal="left"/>
    </xf>
    <xf numFmtId="49" fontId="37" fillId="35" borderId="0" xfId="0" applyNumberFormat="1" applyFont="1" applyFill="1"/>
    <xf numFmtId="49" fontId="37" fillId="0" borderId="0" xfId="0" applyNumberFormat="1" applyFont="1" applyAlignment="1">
      <alignment horizontal="left"/>
    </xf>
    <xf numFmtId="0" fontId="31" fillId="35" borderId="0" xfId="0" applyFont="1" applyFill="1"/>
    <xf numFmtId="0" fontId="0" fillId="35" borderId="23" xfId="0" applyFill="1" applyBorder="1" applyAlignment="1">
      <alignment horizontal="left" vertical="top"/>
    </xf>
    <xf numFmtId="0" fontId="0" fillId="35" borderId="21" xfId="0" applyFill="1" applyBorder="1" applyAlignment="1">
      <alignment horizontal="left" vertical="top"/>
    </xf>
    <xf numFmtId="0" fontId="0" fillId="35" borderId="24" xfId="0" applyFill="1" applyBorder="1" applyAlignment="1">
      <alignment horizontal="left" vertical="top"/>
    </xf>
    <xf numFmtId="0" fontId="3" fillId="35" borderId="0" xfId="0" applyFont="1" applyFill="1" applyAlignment="1">
      <alignment horizontal="left" vertical="top"/>
    </xf>
    <xf numFmtId="0" fontId="40" fillId="35" borderId="0" xfId="0" applyFont="1" applyFill="1" applyAlignment="1">
      <alignment horizontal="center"/>
    </xf>
    <xf numFmtId="166" fontId="0" fillId="0" borderId="0" xfId="0" applyNumberFormat="1" applyAlignment="1">
      <alignment horizontal="left"/>
    </xf>
    <xf numFmtId="0" fontId="0" fillId="37" borderId="34" xfId="0" applyFill="1" applyBorder="1" applyAlignment="1">
      <alignment vertical="top" wrapText="1"/>
    </xf>
    <xf numFmtId="0" fontId="0" fillId="41" borderId="0" xfId="0" applyFill="1" applyAlignment="1">
      <alignment vertical="top" wrapText="1"/>
    </xf>
    <xf numFmtId="0" fontId="32" fillId="40" borderId="0" xfId="0" applyFont="1" applyFill="1"/>
    <xf numFmtId="0" fontId="0" fillId="41" borderId="0" xfId="0" applyFill="1"/>
    <xf numFmtId="0" fontId="33" fillId="35" borderId="0" xfId="0" applyFont="1" applyFill="1"/>
    <xf numFmtId="166" fontId="0" fillId="35" borderId="0" xfId="0" applyNumberFormat="1" applyFill="1" applyAlignment="1">
      <alignment horizontal="center"/>
    </xf>
    <xf numFmtId="0" fontId="7" fillId="35" borderId="0" xfId="0" applyFont="1" applyFill="1" applyAlignment="1">
      <alignment horizontal="center"/>
    </xf>
    <xf numFmtId="0" fontId="32" fillId="36" borderId="0" xfId="0" applyFont="1" applyFill="1"/>
    <xf numFmtId="14" fontId="0" fillId="37" borderId="35" xfId="0" applyNumberFormat="1" applyFill="1" applyBorder="1" applyAlignment="1">
      <alignment horizontal="center" wrapText="1"/>
    </xf>
    <xf numFmtId="14" fontId="0" fillId="37" borderId="35" xfId="0" applyNumberFormat="1" applyFill="1" applyBorder="1"/>
    <xf numFmtId="14" fontId="0" fillId="0" borderId="35" xfId="0" applyNumberFormat="1" applyBorder="1"/>
    <xf numFmtId="0" fontId="0" fillId="37" borderId="39" xfId="0" applyFill="1" applyBorder="1"/>
    <xf numFmtId="0" fontId="0" fillId="37" borderId="32" xfId="0" applyFill="1" applyBorder="1"/>
    <xf numFmtId="0" fontId="0" fillId="0" borderId="32" xfId="0" applyBorder="1"/>
    <xf numFmtId="0" fontId="0" fillId="37" borderId="40" xfId="0" applyFill="1" applyBorder="1"/>
    <xf numFmtId="0" fontId="0" fillId="0" borderId="40" xfId="0" applyBorder="1"/>
    <xf numFmtId="14" fontId="0" fillId="37" borderId="33" xfId="0" applyNumberFormat="1" applyFill="1" applyBorder="1" applyAlignment="1"/>
    <xf numFmtId="14" fontId="0" fillId="37" borderId="30" xfId="0" applyNumberFormat="1" applyFill="1" applyBorder="1" applyAlignment="1"/>
    <xf numFmtId="14" fontId="0" fillId="0" borderId="30" xfId="0" applyNumberFormat="1" applyBorder="1" applyAlignment="1"/>
    <xf numFmtId="14" fontId="0" fillId="37" borderId="37" xfId="0" applyNumberFormat="1" applyFill="1" applyBorder="1" applyAlignment="1"/>
    <xf numFmtId="14" fontId="0" fillId="0" borderId="0" xfId="0" applyNumberFormat="1" applyAlignment="1"/>
    <xf numFmtId="14" fontId="0" fillId="0" borderId="38" xfId="0" applyNumberFormat="1" applyBorder="1" applyAlignment="1"/>
    <xf numFmtId="14" fontId="0" fillId="37" borderId="0" xfId="0" applyNumberFormat="1" applyFill="1" applyAlignment="1"/>
    <xf numFmtId="14" fontId="0" fillId="37" borderId="38" xfId="0" applyNumberFormat="1" applyFill="1" applyBorder="1" applyAlignment="1"/>
    <xf numFmtId="14" fontId="0" fillId="0" borderId="36" xfId="0" applyNumberFormat="1" applyBorder="1" applyAlignment="1"/>
    <xf numFmtId="14" fontId="0" fillId="0" borderId="31" xfId="0" applyNumberFormat="1" applyBorder="1" applyAlignment="1"/>
    <xf numFmtId="14" fontId="0" fillId="37" borderId="36" xfId="0" applyNumberFormat="1" applyFill="1" applyBorder="1" applyAlignment="1"/>
    <xf numFmtId="14" fontId="0" fillId="37" borderId="31" xfId="0" applyNumberFormat="1" applyFill="1" applyBorder="1" applyAlignment="1"/>
    <xf numFmtId="14" fontId="0" fillId="37" borderId="36" xfId="0" applyNumberFormat="1" applyFill="1" applyBorder="1" applyAlignment="1">
      <alignment wrapText="1"/>
    </xf>
    <xf numFmtId="14" fontId="0" fillId="37" borderId="31" xfId="0" applyNumberFormat="1" applyFill="1" applyBorder="1" applyAlignment="1">
      <alignment wrapText="1"/>
    </xf>
    <xf numFmtId="14" fontId="0" fillId="0" borderId="29" xfId="0" applyNumberFormat="1" applyBorder="1" applyAlignment="1"/>
    <xf numFmtId="14" fontId="0" fillId="37" borderId="29" xfId="0" applyNumberFormat="1" applyFill="1" applyBorder="1" applyAlignment="1"/>
    <xf numFmtId="0" fontId="47" fillId="0" borderId="0" xfId="48" applyFont="1" applyAlignment="1">
      <alignment horizontal="right"/>
    </xf>
    <xf numFmtId="0" fontId="48" fillId="0" borderId="0" xfId="0" applyFont="1"/>
    <xf numFmtId="0" fontId="3" fillId="43" borderId="0" xfId="0" applyFont="1" applyFill="1" applyAlignment="1">
      <alignment wrapText="1"/>
    </xf>
    <xf numFmtId="0" fontId="0" fillId="43" borderId="0" xfId="0" applyFill="1"/>
    <xf numFmtId="0" fontId="3" fillId="42" borderId="0" xfId="0" applyFont="1" applyFill="1" applyAlignment="1">
      <alignment wrapText="1"/>
    </xf>
    <xf numFmtId="0" fontId="0" fillId="42" borderId="0" xfId="0" applyFill="1"/>
    <xf numFmtId="0" fontId="34" fillId="43" borderId="0" xfId="1" applyFont="1" applyFill="1" applyBorder="1" applyAlignment="1">
      <alignment horizontal="center" vertical="center"/>
    </xf>
    <xf numFmtId="0" fontId="11" fillId="43" borderId="0" xfId="1" applyFont="1" applyFill="1" applyBorder="1" applyAlignment="1">
      <alignment horizontal="center" vertical="center"/>
    </xf>
    <xf numFmtId="0" fontId="36" fillId="42" borderId="0" xfId="0" applyFont="1" applyFill="1" applyAlignment="1">
      <alignment horizontal="center"/>
    </xf>
    <xf numFmtId="0" fontId="35" fillId="42" borderId="0" xfId="0" applyFont="1" applyFill="1" applyAlignment="1">
      <alignment horizontal="center"/>
    </xf>
    <xf numFmtId="0" fontId="3" fillId="35" borderId="13" xfId="0" applyFont="1" applyFill="1" applyBorder="1" applyAlignment="1">
      <alignment horizontal="left" vertical="top" wrapText="1"/>
    </xf>
    <xf numFmtId="0" fontId="3" fillId="35" borderId="14" xfId="0" applyFont="1" applyFill="1" applyBorder="1" applyAlignment="1">
      <alignment horizontal="left" vertical="top"/>
    </xf>
    <xf numFmtId="0" fontId="3" fillId="35" borderId="15" xfId="0" applyFont="1" applyFill="1" applyBorder="1" applyAlignment="1">
      <alignment horizontal="left" vertical="top"/>
    </xf>
    <xf numFmtId="0" fontId="3" fillId="35" borderId="16" xfId="0" applyFont="1" applyFill="1" applyBorder="1" applyAlignment="1">
      <alignment horizontal="left" vertical="top"/>
    </xf>
    <xf numFmtId="0" fontId="3" fillId="35" borderId="0" xfId="0" applyFont="1" applyFill="1" applyAlignment="1">
      <alignment horizontal="left" vertical="top"/>
    </xf>
    <xf numFmtId="0" fontId="3" fillId="35" borderId="17" xfId="0" applyFont="1" applyFill="1" applyBorder="1" applyAlignment="1">
      <alignment horizontal="left" vertical="top"/>
    </xf>
    <xf numFmtId="0" fontId="3" fillId="35" borderId="18" xfId="0" applyFont="1" applyFill="1" applyBorder="1" applyAlignment="1">
      <alignment horizontal="left" vertical="top"/>
    </xf>
    <xf numFmtId="0" fontId="3" fillId="35" borderId="19" xfId="0" applyFont="1" applyFill="1" applyBorder="1" applyAlignment="1">
      <alignment horizontal="left" vertical="top"/>
    </xf>
    <xf numFmtId="0" fontId="3" fillId="35" borderId="20" xfId="0" applyFont="1" applyFill="1" applyBorder="1" applyAlignment="1">
      <alignment horizontal="left" vertical="top"/>
    </xf>
    <xf numFmtId="0" fontId="2" fillId="43" borderId="0" xfId="0" applyFont="1" applyFill="1" applyAlignment="1">
      <alignment horizontal="center" vertical="center"/>
    </xf>
    <xf numFmtId="0" fontId="11" fillId="43" borderId="0" xfId="0" applyFont="1" applyFill="1" applyAlignment="1">
      <alignment horizontal="center" vertical="center"/>
    </xf>
    <xf numFmtId="0" fontId="4" fillId="43" borderId="0" xfId="0" applyFont="1" applyFill="1" applyAlignment="1">
      <alignment horizontal="center" vertical="center"/>
    </xf>
    <xf numFmtId="0" fontId="26" fillId="0" borderId="0" xfId="0" applyFont="1" applyAlignment="1">
      <alignment horizontal="left" vertical="center" indent="2"/>
    </xf>
    <xf numFmtId="0" fontId="41" fillId="35" borderId="0" xfId="0" applyFont="1" applyFill="1" applyAlignment="1">
      <alignment horizontal="left"/>
    </xf>
    <xf numFmtId="49" fontId="39" fillId="33" borderId="10" xfId="0" applyNumberFormat="1" applyFont="1" applyFill="1" applyBorder="1" applyAlignment="1">
      <alignment horizontal="left" vertical="top" wrapText="1"/>
    </xf>
    <xf numFmtId="49" fontId="39" fillId="33" borderId="11" xfId="0" applyNumberFormat="1" applyFont="1" applyFill="1" applyBorder="1" applyAlignment="1">
      <alignment horizontal="left" vertical="top"/>
    </xf>
    <xf numFmtId="49" fontId="39" fillId="33" borderId="12" xfId="0" applyNumberFormat="1" applyFont="1" applyFill="1" applyBorder="1" applyAlignment="1">
      <alignment horizontal="left" vertical="top"/>
    </xf>
    <xf numFmtId="0" fontId="39" fillId="33" borderId="27" xfId="0" applyFont="1" applyFill="1" applyBorder="1" applyAlignment="1">
      <alignment horizontal="left" vertical="top" wrapText="1"/>
    </xf>
    <xf numFmtId="0" fontId="39" fillId="33" borderId="28" xfId="0" applyFont="1" applyFill="1" applyBorder="1" applyAlignment="1">
      <alignment horizontal="left" vertical="top"/>
    </xf>
    <xf numFmtId="0" fontId="39" fillId="33" borderId="25" xfId="0" applyFont="1" applyFill="1" applyBorder="1" applyAlignment="1">
      <alignment horizontal="left" vertical="top"/>
    </xf>
    <xf numFmtId="0" fontId="39" fillId="33" borderId="0" xfId="0" applyFont="1" applyFill="1" applyAlignment="1">
      <alignment horizontal="left" vertical="top"/>
    </xf>
    <xf numFmtId="0" fontId="39" fillId="33" borderId="26" xfId="0" applyFont="1" applyFill="1" applyBorder="1" applyAlignment="1">
      <alignment horizontal="left" vertical="top"/>
    </xf>
    <xf numFmtId="0" fontId="39" fillId="33" borderId="22" xfId="0" applyFont="1" applyFill="1" applyBorder="1" applyAlignment="1">
      <alignment horizontal="left" vertical="top"/>
    </xf>
    <xf numFmtId="49" fontId="3" fillId="35" borderId="10" xfId="0" applyNumberFormat="1" applyFont="1" applyFill="1" applyBorder="1" applyAlignment="1">
      <alignment horizontal="left" vertical="top" wrapText="1"/>
    </xf>
    <xf numFmtId="49" fontId="3" fillId="35" borderId="11" xfId="0" applyNumberFormat="1" applyFont="1" applyFill="1" applyBorder="1" applyAlignment="1">
      <alignment horizontal="left" vertical="top"/>
    </xf>
    <xf numFmtId="49" fontId="3" fillId="35" borderId="12" xfId="0" applyNumberFormat="1" applyFont="1" applyFill="1" applyBorder="1" applyAlignment="1">
      <alignment horizontal="left" vertical="top"/>
    </xf>
    <xf numFmtId="0" fontId="6" fillId="0" borderId="28" xfId="0" applyFont="1" applyBorder="1" applyAlignment="1">
      <alignment horizontal="left"/>
    </xf>
    <xf numFmtId="0" fontId="6" fillId="0" borderId="0" xfId="0" applyFont="1" applyAlignment="1">
      <alignment horizontal="left"/>
    </xf>
    <xf numFmtId="0" fontId="39" fillId="33" borderId="10" xfId="0" applyFont="1" applyFill="1" applyBorder="1" applyAlignment="1">
      <alignment horizontal="left" vertical="top" wrapText="1"/>
    </xf>
    <xf numFmtId="0" fontId="39" fillId="33" borderId="11" xfId="0" applyFont="1" applyFill="1" applyBorder="1" applyAlignment="1">
      <alignment horizontal="left" vertical="top"/>
    </xf>
    <xf numFmtId="0" fontId="39" fillId="33" borderId="12" xfId="0" applyFont="1" applyFill="1" applyBorder="1" applyAlignment="1">
      <alignment horizontal="left" vertical="top"/>
    </xf>
    <xf numFmtId="0" fontId="39" fillId="33" borderId="28" xfId="0" applyFont="1" applyFill="1" applyBorder="1" applyAlignment="1">
      <alignment horizontal="left" vertical="top" wrapText="1"/>
    </xf>
    <xf numFmtId="0" fontId="39" fillId="33" borderId="25" xfId="0" applyFont="1" applyFill="1" applyBorder="1" applyAlignment="1">
      <alignment horizontal="left" vertical="top" wrapText="1"/>
    </xf>
    <xf numFmtId="0" fontId="39" fillId="33" borderId="0" xfId="0" applyFont="1" applyFill="1" applyAlignment="1">
      <alignment horizontal="left" vertical="top" wrapText="1"/>
    </xf>
    <xf numFmtId="0" fontId="39" fillId="33" borderId="26" xfId="0" applyFont="1" applyFill="1" applyBorder="1" applyAlignment="1">
      <alignment horizontal="left" vertical="top" wrapText="1"/>
    </xf>
    <xf numFmtId="0" fontId="39" fillId="33" borderId="22" xfId="0" applyFont="1" applyFill="1" applyBorder="1" applyAlignment="1">
      <alignment horizontal="left" vertical="top" wrapText="1"/>
    </xf>
    <xf numFmtId="0" fontId="3" fillId="35" borderId="10" xfId="0" applyFont="1" applyFill="1" applyBorder="1" applyAlignment="1">
      <alignment horizontal="left" vertical="top" wrapText="1"/>
    </xf>
    <xf numFmtId="0" fontId="3" fillId="35" borderId="11" xfId="0" applyFont="1" applyFill="1" applyBorder="1" applyAlignment="1">
      <alignment horizontal="left" vertical="top"/>
    </xf>
    <xf numFmtId="0" fontId="3" fillId="35" borderId="12" xfId="0" applyFont="1" applyFill="1" applyBorder="1" applyAlignment="1">
      <alignment horizontal="left" vertical="top"/>
    </xf>
    <xf numFmtId="0" fontId="2" fillId="42" borderId="0" xfId="0" applyFont="1" applyFill="1" applyAlignment="1">
      <alignment horizontal="center" vertical="center"/>
    </xf>
    <xf numFmtId="0" fontId="11" fillId="42" borderId="0" xfId="0" applyFont="1" applyFill="1" applyAlignment="1">
      <alignment horizontal="center" vertical="center"/>
    </xf>
    <xf numFmtId="0" fontId="4" fillId="42" borderId="0" xfId="0" applyFont="1" applyFill="1" applyAlignment="1">
      <alignment horizontal="center" vertical="center"/>
    </xf>
    <xf numFmtId="0" fontId="27" fillId="0" borderId="0" xfId="0" applyFont="1" applyAlignment="1">
      <alignment horizontal="left"/>
    </xf>
    <xf numFmtId="14" fontId="0" fillId="37" borderId="33" xfId="0" applyNumberFormat="1" applyFill="1" applyBorder="1" applyAlignment="1">
      <alignment horizontal="center"/>
    </xf>
    <xf numFmtId="14" fontId="0" fillId="0" borderId="30" xfId="0" applyNumberFormat="1" applyBorder="1" applyAlignment="1">
      <alignment horizontal="center"/>
    </xf>
    <xf numFmtId="14" fontId="0" fillId="37" borderId="30" xfId="0" applyNumberFormat="1" applyFill="1" applyBorder="1" applyAlignment="1">
      <alignment horizontal="center"/>
    </xf>
    <xf numFmtId="49" fontId="3" fillId="33" borderId="11" xfId="0" applyNumberFormat="1" applyFont="1" applyFill="1" applyBorder="1" applyAlignment="1">
      <alignment horizontal="left" vertical="top"/>
    </xf>
    <xf numFmtId="49" fontId="3" fillId="33" borderId="12" xfId="0" applyNumberFormat="1" applyFont="1" applyFill="1" applyBorder="1" applyAlignment="1">
      <alignment horizontal="left" vertical="top"/>
    </xf>
    <xf numFmtId="0" fontId="39" fillId="33" borderId="13" xfId="0" applyFont="1" applyFill="1" applyBorder="1" applyAlignment="1">
      <alignment horizontal="left" vertical="top" wrapText="1"/>
    </xf>
    <xf numFmtId="0" fontId="39" fillId="33" borderId="14" xfId="0" applyFont="1" applyFill="1" applyBorder="1" applyAlignment="1">
      <alignment horizontal="left" vertical="top"/>
    </xf>
    <xf numFmtId="0" fontId="39" fillId="33" borderId="15" xfId="0" applyFont="1" applyFill="1" applyBorder="1" applyAlignment="1">
      <alignment horizontal="left" vertical="top"/>
    </xf>
    <xf numFmtId="0" fontId="39" fillId="33" borderId="16" xfId="0" applyFont="1" applyFill="1" applyBorder="1" applyAlignment="1">
      <alignment horizontal="left" vertical="top"/>
    </xf>
    <xf numFmtId="0" fontId="39" fillId="33" borderId="17" xfId="0" applyFont="1" applyFill="1" applyBorder="1" applyAlignment="1">
      <alignment horizontal="left" vertical="top"/>
    </xf>
    <xf numFmtId="0" fontId="39" fillId="33" borderId="18" xfId="0" applyFont="1" applyFill="1" applyBorder="1" applyAlignment="1">
      <alignment horizontal="left" vertical="top"/>
    </xf>
    <xf numFmtId="0" fontId="39" fillId="33" borderId="19" xfId="0" applyFont="1" applyFill="1" applyBorder="1" applyAlignment="1">
      <alignment horizontal="left" vertical="top"/>
    </xf>
    <xf numFmtId="0" fontId="39" fillId="33" borderId="20" xfId="0" applyFont="1" applyFill="1" applyBorder="1" applyAlignment="1">
      <alignment horizontal="left" vertical="top"/>
    </xf>
    <xf numFmtId="0" fontId="0" fillId="33" borderId="14" xfId="0" applyFill="1" applyBorder="1" applyAlignment="1">
      <alignment horizontal="left" vertical="top"/>
    </xf>
    <xf numFmtId="0" fontId="0" fillId="33" borderId="15" xfId="0" applyFill="1" applyBorder="1" applyAlignment="1">
      <alignment horizontal="left" vertical="top"/>
    </xf>
    <xf numFmtId="0" fontId="0" fillId="33" borderId="16" xfId="0" applyFill="1" applyBorder="1" applyAlignment="1">
      <alignment horizontal="left" vertical="top"/>
    </xf>
    <xf numFmtId="0" fontId="0" fillId="33" borderId="0" xfId="0" applyFill="1" applyAlignment="1">
      <alignment horizontal="left" vertical="top"/>
    </xf>
    <xf numFmtId="0" fontId="0" fillId="33" borderId="17" xfId="0" applyFill="1" applyBorder="1" applyAlignment="1">
      <alignment horizontal="left" vertical="top"/>
    </xf>
    <xf numFmtId="0" fontId="0" fillId="33" borderId="18" xfId="0" applyFill="1" applyBorder="1" applyAlignment="1">
      <alignment horizontal="left" vertical="top"/>
    </xf>
    <xf numFmtId="0" fontId="0" fillId="33" borderId="19" xfId="0" applyFill="1" applyBorder="1" applyAlignment="1">
      <alignment horizontal="left" vertical="top"/>
    </xf>
    <xf numFmtId="0" fontId="0" fillId="33" borderId="20" xfId="0" applyFill="1" applyBorder="1" applyAlignment="1">
      <alignment horizontal="left" vertical="top"/>
    </xf>
    <xf numFmtId="0" fontId="11" fillId="39" borderId="0" xfId="0" applyFont="1" applyFill="1" applyAlignment="1">
      <alignment horizontal="center" vertical="center"/>
    </xf>
    <xf numFmtId="0" fontId="4" fillId="39" borderId="0" xfId="0" applyFont="1" applyFill="1" applyAlignment="1">
      <alignment horizontal="center" vertical="center"/>
    </xf>
    <xf numFmtId="0" fontId="2" fillId="39" borderId="0" xfId="0" applyFont="1" applyFill="1" applyAlignment="1">
      <alignment horizontal="center" vertical="center"/>
    </xf>
    <xf numFmtId="49" fontId="29" fillId="35" borderId="0" xfId="0" applyNumberFormat="1" applyFont="1" applyFill="1" applyAlignment="1">
      <alignment horizontal="left" vertical="top" wrapText="1"/>
    </xf>
    <xf numFmtId="49" fontId="3" fillId="35" borderId="0" xfId="0" applyNumberFormat="1" applyFont="1" applyFill="1" applyAlignment="1">
      <alignment horizontal="left" vertical="top"/>
    </xf>
    <xf numFmtId="0" fontId="42" fillId="0" borderId="0" xfId="0" applyFont="1" applyAlignment="1">
      <alignment horizontal="left" vertical="center" indent="2"/>
    </xf>
    <xf numFmtId="0" fontId="0" fillId="0" borderId="0" xfId="0" applyAlignment="1">
      <alignment horizontal="center"/>
    </xf>
    <xf numFmtId="0" fontId="41" fillId="0" borderId="0" xfId="0" applyFont="1" applyAlignment="1">
      <alignment horizontal="left"/>
    </xf>
  </cellXfs>
  <cellStyles count="49">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Hiperlink" xfId="48" builtinId="8"/>
    <cellStyle name="Incorreto" xfId="12" builtinId="27" customBuiltin="1"/>
    <cellStyle name="Moeda" xfId="4" builtinId="4" customBuiltin="1"/>
    <cellStyle name="Moeda [0]" xfId="5" builtinId="7" customBuiltin="1"/>
    <cellStyle name="Neutra" xfId="13" builtinId="28" customBuiltin="1"/>
    <cellStyle name="Normal" xfId="0" builtinId="0" customBuiltin="1"/>
    <cellStyle name="Normal 2" xfId="47"/>
    <cellStyle name="Nota" xfId="20" builtinId="10" customBuiltin="1"/>
    <cellStyle name="Porcentagem" xfId="6" builtinId="5" customBuiltin="1"/>
    <cellStyle name="Saída" xfId="15" builtinId="21" customBuiltin="1"/>
    <cellStyle name="Separador de milhares [0]" xfId="3" builtinId="6" customBuiltin="1"/>
    <cellStyle name="Texto de Aviso" xfId="19" builtinId="11" customBuiltin="1"/>
    <cellStyle name="Texto Explicativo" xfId="21" builtinId="53" customBuiltin="1"/>
    <cellStyle name="Título" xfId="7" builtinId="15" customBuiltin="1"/>
    <cellStyle name="Título 1" xfId="8" builtinId="16" customBuiltin="1"/>
    <cellStyle name="Título 2" xfId="1" builtinId="17" customBuiltin="1"/>
    <cellStyle name="Título 3" xfId="9" builtinId="18" customBuiltin="1"/>
    <cellStyle name="Título 4" xfId="10" builtinId="19" customBuiltin="1"/>
    <cellStyle name="Total" xfId="22" builtinId="25" customBuiltin="1"/>
    <cellStyle name="Vírgula" xfId="2" builtinId="3" customBuiltin="1"/>
  </cellStyles>
  <dxfs count="54">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DC8424"/>
      <color rgb="FFDA64A7"/>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Spin" dx="16" fmlaLink="$B$1" max="2999" min="1900" page="10" val="2024"/>
</file>

<file path=xl/ctrlProps/ctrlProp2.xml><?xml version="1.0" encoding="utf-8"?>
<formControlPr xmlns="http://schemas.microsoft.com/office/spreadsheetml/2009/9/main" objectType="Spin" dx="16" fmlaLink="$B$1" max="2999" min="1900" page="10" val="2024"/>
</file>

<file path=xl/ctrlProps/ctrlProp3.xml><?xml version="1.0" encoding="utf-8"?>
<formControlPr xmlns="http://schemas.microsoft.com/office/spreadsheetml/2009/9/main" objectType="Spin" dx="16" fmlaLink="$C$1" max="2999" min="1900" page="10" val="2024"/>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oferta.sebraemg.com.br/calendario-de-vendas-2024-ia" TargetMode="External"/><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xdr:col>
      <xdr:colOff>3057525</xdr:colOff>
      <xdr:row>2</xdr:row>
      <xdr:rowOff>133350</xdr:rowOff>
    </xdr:from>
    <xdr:ext cx="12049125" cy="32575502"/>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3219450" y="1362075"/>
          <a:ext cx="12049125" cy="32575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0" i="0">
            <a:solidFill>
              <a:schemeClr val="bg1"/>
            </a:solidFill>
            <a:effectLst/>
            <a:latin typeface="+mn-lt"/>
            <a:ea typeface="+mn-ea"/>
            <a:cs typeface="+mn-cs"/>
          </a:endParaRPr>
        </a:p>
        <a:p>
          <a:r>
            <a:rPr lang="pt-BR" sz="2800" b="0" i="0">
              <a:solidFill>
                <a:schemeClr val="bg1"/>
              </a:solidFill>
              <a:effectLst/>
              <a:latin typeface="+mn-lt"/>
              <a:ea typeface="+mn-ea"/>
              <a:cs typeface="+mn-cs"/>
            </a:rPr>
            <a:t>           </a:t>
          </a:r>
          <a:r>
            <a:rPr lang="pt-BR" sz="2800" b="0" i="0">
              <a:solidFill>
                <a:sysClr val="windowText" lastClr="000000"/>
              </a:solidFill>
              <a:effectLst/>
              <a:latin typeface="+mn-lt"/>
              <a:ea typeface="+mn-ea"/>
              <a:cs typeface="+mn-cs"/>
            </a:rPr>
            <a:t>Lembre de perguntar por ações de vendas para a IA (clique aqui)</a:t>
          </a: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800" b="0" i="0">
            <a:solidFill>
              <a:sysClr val="windowText" lastClr="000000"/>
            </a:solidFill>
            <a:effectLst/>
            <a:latin typeface="+mn-lt"/>
            <a:ea typeface="+mn-ea"/>
            <a:cs typeface="+mn-cs"/>
          </a:endParaRPr>
        </a:p>
        <a:p>
          <a:r>
            <a:rPr lang="pt-BR" sz="2400" b="0" i="0">
              <a:solidFill>
                <a:sysClr val="windowText" lastClr="000000"/>
              </a:solidFill>
              <a:effectLst/>
              <a:latin typeface="+mn-lt"/>
              <a:ea typeface="+mn-ea"/>
              <a:cs typeface="+mn-cs"/>
            </a:rPr>
            <a:t>             Esperamos</a:t>
          </a:r>
          <a:r>
            <a:rPr lang="pt-BR" sz="2400" b="0" i="0" baseline="0">
              <a:solidFill>
                <a:sysClr val="windowText" lastClr="000000"/>
              </a:solidFill>
              <a:effectLst/>
              <a:latin typeface="+mn-lt"/>
              <a:ea typeface="+mn-ea"/>
              <a:cs typeface="+mn-cs"/>
            </a:rPr>
            <a:t> </a:t>
          </a:r>
          <a:r>
            <a:rPr lang="pt-BR" sz="2400" b="0" i="0">
              <a:solidFill>
                <a:sysClr val="windowText" lastClr="000000"/>
              </a:solidFill>
              <a:effectLst/>
              <a:latin typeface="+mn-lt"/>
              <a:ea typeface="+mn-ea"/>
              <a:cs typeface="+mn-cs"/>
            </a:rPr>
            <a:t>que esteja ótimo!</a:t>
          </a:r>
        </a:p>
        <a:p>
          <a:endParaRPr lang="pt-BR" sz="1800" b="0" i="0">
            <a:solidFill>
              <a:sysClr val="windowText" lastClr="000000"/>
            </a:solidFill>
            <a:effectLst/>
            <a:latin typeface="+mn-lt"/>
            <a:ea typeface="+mn-ea"/>
            <a:cs typeface="+mn-cs"/>
          </a:endParaRPr>
        </a:p>
        <a:p>
          <a:r>
            <a:rPr lang="pt-BR" sz="1600" b="0" i="0">
              <a:solidFill>
                <a:sysClr val="windowText" lastClr="000000"/>
              </a:solidFill>
              <a:effectLst/>
              <a:latin typeface="+mn-lt"/>
              <a:ea typeface="+mn-ea"/>
              <a:cs typeface="+mn-cs"/>
            </a:rPr>
            <a:t>Sabemos</a:t>
          </a:r>
          <a:r>
            <a:rPr lang="pt-BR" sz="1600" b="0" i="0" baseline="0">
              <a:solidFill>
                <a:sysClr val="windowText" lastClr="000000"/>
              </a:solidFill>
              <a:effectLst/>
              <a:latin typeface="+mn-lt"/>
              <a:ea typeface="+mn-ea"/>
              <a:cs typeface="+mn-cs"/>
            </a:rPr>
            <a:t> que organizar todas as tarefas relacionadas a vendas é complexo e trabalhoso, ainda mais com tantas datas comemorativas que podem ser aproveitadas.</a:t>
          </a:r>
        </a:p>
        <a:p>
          <a:r>
            <a:rPr lang="pt-BR" sz="1600" b="0" i="0" baseline="0">
              <a:solidFill>
                <a:sysClr val="windowText" lastClr="000000"/>
              </a:solidFill>
              <a:effectLst/>
              <a:latin typeface="+mn-lt"/>
              <a:ea typeface="+mn-ea"/>
              <a:cs typeface="+mn-cs"/>
            </a:rPr>
            <a:t>Pensando nisso, criamos uma </a:t>
          </a:r>
          <a:r>
            <a:rPr lang="pt-BR" sz="1600" b="0" i="0">
              <a:solidFill>
                <a:sysClr val="windowText" lastClr="000000"/>
              </a:solidFill>
              <a:effectLst/>
              <a:latin typeface="+mn-lt"/>
              <a:ea typeface="+mn-ea"/>
              <a:cs typeface="+mn-cs"/>
            </a:rPr>
            <a:t>planilha que simula um calendário do segundo semestre de 2024, com foco nas datas comemorativas que aquecem o mercado e o comércio. </a:t>
          </a:r>
        </a:p>
        <a:p>
          <a:r>
            <a:rPr lang="pt-BR" sz="1600" b="0" i="0">
              <a:solidFill>
                <a:sysClr val="windowText" lastClr="000000"/>
              </a:solidFill>
              <a:effectLst/>
              <a:latin typeface="+mn-lt"/>
              <a:ea typeface="+mn-ea"/>
              <a:cs typeface="+mn-cs"/>
            </a:rPr>
            <a:t>Nessa planilha, são oferecidas sugestões estratégicas de marketing e vendas para cada data, e também há espaços para o controle das ações planejadas. </a:t>
          </a:r>
        </a:p>
        <a:p>
          <a:r>
            <a:rPr lang="pt-BR" sz="1600" b="0" i="0">
              <a:solidFill>
                <a:sysClr val="windowText" lastClr="000000"/>
              </a:solidFill>
              <a:effectLst/>
              <a:latin typeface="+mn-lt"/>
              <a:ea typeface="+mn-ea"/>
              <a:cs typeface="+mn-cs"/>
            </a:rPr>
            <a:t>Essa ferramenta é uma maneira prática e eficiente de potencializar o sucesso das campanhas e facilitar o acompanhamento dos resultados.</a:t>
          </a:r>
        </a:p>
        <a:p>
          <a:endParaRPr lang="pt-BR" sz="1600" b="0" i="0">
            <a:solidFill>
              <a:sysClr val="windowText" lastClr="000000"/>
            </a:solidFill>
            <a:effectLst/>
            <a:latin typeface="+mn-lt"/>
            <a:ea typeface="+mn-ea"/>
            <a:cs typeface="+mn-cs"/>
          </a:endParaRPr>
        </a:p>
        <a:p>
          <a:r>
            <a:rPr lang="pt-BR" sz="1600" b="0" i="0">
              <a:solidFill>
                <a:sysClr val="windowText" lastClr="000000"/>
              </a:solidFill>
              <a:effectLst/>
              <a:latin typeface="+mn-lt"/>
              <a:ea typeface="+mn-ea"/>
              <a:cs typeface="+mn-cs"/>
            </a:rPr>
            <a:t>Sucesso !</a:t>
          </a:r>
          <a:endParaRPr lang="pt-BR" sz="1600" b="1" i="0">
            <a:solidFill>
              <a:sysClr val="windowText" lastClr="000000"/>
            </a:solidFill>
            <a:effectLst/>
            <a:latin typeface="+mn-lt"/>
            <a:ea typeface="+mn-ea"/>
            <a:cs typeface="+mn-cs"/>
          </a:endParaRPr>
        </a:p>
      </xdr:txBody>
    </xdr:sp>
    <xdr:clientData/>
  </xdr:oneCellAnchor>
  <xdr:twoCellAnchor editAs="oneCell">
    <xdr:from>
      <xdr:col>15</xdr:col>
      <xdr:colOff>381000</xdr:colOff>
      <xdr:row>5</xdr:row>
      <xdr:rowOff>34587</xdr:rowOff>
    </xdr:from>
    <xdr:to>
      <xdr:col>18</xdr:col>
      <xdr:colOff>359890</xdr:colOff>
      <xdr:row>10</xdr:row>
      <xdr:rowOff>126070</xdr:rowOff>
    </xdr:to>
    <xdr:pic>
      <xdr:nvPicPr>
        <xdr:cNvPr id="7" name="Imagem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2411075" y="2853987"/>
          <a:ext cx="1579090" cy="853483"/>
        </a:xfrm>
        <a:prstGeom prst="rect">
          <a:avLst/>
        </a:prstGeom>
      </xdr:spPr>
    </xdr:pic>
    <xdr:clientData/>
  </xdr:twoCellAnchor>
  <xdr:twoCellAnchor editAs="oneCell">
    <xdr:from>
      <xdr:col>7</xdr:col>
      <xdr:colOff>43431</xdr:colOff>
      <xdr:row>4</xdr:row>
      <xdr:rowOff>533400</xdr:rowOff>
    </xdr:from>
    <xdr:to>
      <xdr:col>14</xdr:col>
      <xdr:colOff>342900</xdr:colOff>
      <xdr:row>13</xdr:row>
      <xdr:rowOff>133350</xdr:rowOff>
    </xdr:to>
    <xdr:pic>
      <xdr:nvPicPr>
        <xdr:cNvPr id="5" name="Imagem 4" descr="https://d335luupugsy2.cloudfront.net/cms/files/127136/1719604780/$ggd5oh5aelo">
          <a:extLst>
            <a:ext uri="{FF2B5EF4-FFF2-40B4-BE49-F238E27FC236}">
              <a16:creationId xmlns:a16="http://schemas.microsoft.com/office/drawing/2014/main" id="{707BDDA0-9A4F-4ADA-B947-6BA63A6051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06306" y="2524125"/>
          <a:ext cx="4033269"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3681981</xdr:colOff>
      <xdr:row>4</xdr:row>
      <xdr:rowOff>266700</xdr:rowOff>
    </xdr:from>
    <xdr:to>
      <xdr:col>5</xdr:col>
      <xdr:colOff>453658</xdr:colOff>
      <xdr:row>16</xdr:row>
      <xdr:rowOff>85193</xdr:rowOff>
    </xdr:to>
    <xdr:pic>
      <xdr:nvPicPr>
        <xdr:cNvPr id="4" name="Imagem 3">
          <a:extLst>
            <a:ext uri="{FF2B5EF4-FFF2-40B4-BE49-F238E27FC236}">
              <a16:creationId xmlns:a16="http://schemas.microsoft.com/office/drawing/2014/main" id="{90D304CB-6F69-4545-9ACE-8EBCCFFA06B2}"/>
            </a:ext>
          </a:extLst>
        </xdr:cNvPr>
        <xdr:cNvPicPr>
          <a:picLocks noChangeAspect="1"/>
        </xdr:cNvPicPr>
      </xdr:nvPicPr>
      <xdr:blipFill>
        <a:blip xmlns:r="http://schemas.openxmlformats.org/officeDocument/2006/relationships" r:embed="rId4"/>
        <a:stretch>
          <a:fillRect/>
        </a:stretch>
      </xdr:blipFill>
      <xdr:spPr>
        <a:xfrm>
          <a:off x="3843906" y="2257425"/>
          <a:ext cx="3305827" cy="226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10241" name="Controle Giratório" descr="Use os botões de controle giratório para alterar o ano do calendário ou inserir o ano na célula C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1076325</xdr:colOff>
      <xdr:row>0</xdr:row>
      <xdr:rowOff>209550</xdr:rowOff>
    </xdr:from>
    <xdr:to>
      <xdr:col>20</xdr:col>
      <xdr:colOff>1990724</xdr:colOff>
      <xdr:row>0</xdr:row>
      <xdr:rowOff>703326</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372350" y="209550"/>
          <a:ext cx="914399" cy="493776"/>
        </a:xfrm>
        <a:prstGeom prst="rect">
          <a:avLst/>
        </a:prstGeom>
      </xdr:spPr>
    </xdr:pic>
    <xdr:clientData/>
  </xdr:twoCellAnchor>
  <xdr:oneCellAnchor>
    <xdr:from>
      <xdr:col>1</xdr:col>
      <xdr:colOff>142874</xdr:colOff>
      <xdr:row>38</xdr:row>
      <xdr:rowOff>123823</xdr:rowOff>
    </xdr:from>
    <xdr:ext cx="5655609" cy="33147002"/>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219074" y="7877173"/>
          <a:ext cx="5655609" cy="33147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1" i="0">
            <a:solidFill>
              <a:schemeClr val="tx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2049" name="Controle Giratório" descr="Use os botões de controle giratório para alterar o ano do calendário ou inserir o ano na célula C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1076325</xdr:colOff>
      <xdr:row>0</xdr:row>
      <xdr:rowOff>209550</xdr:rowOff>
    </xdr:from>
    <xdr:to>
      <xdr:col>20</xdr:col>
      <xdr:colOff>1990724</xdr:colOff>
      <xdr:row>0</xdr:row>
      <xdr:rowOff>703326</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381875" y="209550"/>
          <a:ext cx="914399" cy="493776"/>
        </a:xfrm>
        <a:prstGeom prst="rect">
          <a:avLst/>
        </a:prstGeom>
      </xdr:spPr>
    </xdr:pic>
    <xdr:clientData/>
  </xdr:twoCellAnchor>
  <xdr:oneCellAnchor>
    <xdr:from>
      <xdr:col>2</xdr:col>
      <xdr:colOff>314324</xdr:colOff>
      <xdr:row>38</xdr:row>
      <xdr:rowOff>114299</xdr:rowOff>
    </xdr:from>
    <xdr:ext cx="5638801" cy="32908875"/>
    <xdr:sp macro="" textlink="">
      <xdr:nvSpPr>
        <xdr:cNvPr id="10" name="CaixaDeTexto 9">
          <a:extLst>
            <a:ext uri="{FF2B5EF4-FFF2-40B4-BE49-F238E27FC236}">
              <a16:creationId xmlns:a16="http://schemas.microsoft.com/office/drawing/2014/main" id="{00000000-0008-0000-0200-00000A000000}"/>
            </a:ext>
          </a:extLst>
        </xdr:cNvPr>
        <xdr:cNvSpPr txBox="1"/>
      </xdr:nvSpPr>
      <xdr:spPr>
        <a:xfrm>
          <a:off x="685799" y="7877174"/>
          <a:ext cx="5638801" cy="32908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0" i="0">
            <a:solidFill>
              <a:schemeClr val="tx1"/>
            </a:solidFill>
            <a:effectLst/>
            <a:latin typeface="+mn-lt"/>
            <a:ea typeface="+mn-ea"/>
            <a:cs typeface="+mn-cs"/>
          </a:endParaRPr>
        </a:p>
        <a:p>
          <a:endParaRPr lang="pt-BR" sz="1100" b="1" i="0">
            <a:solidFill>
              <a:schemeClr val="tx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3073" name="Controle Giratório" descr="Use os botões de controle giratório para alterar o ano do calendário ou inserir o ano na célula C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1114425</xdr:colOff>
      <xdr:row>0</xdr:row>
      <xdr:rowOff>211074</xdr:rowOff>
    </xdr:from>
    <xdr:to>
      <xdr:col>20</xdr:col>
      <xdr:colOff>2028824</xdr:colOff>
      <xdr:row>0</xdr:row>
      <xdr:rowOff>704850</xdr:rowOff>
    </xdr:to>
    <xdr:pic>
      <xdr:nvPicPr>
        <xdr:cNvPr id="10" name="Imagem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7591425" y="211074"/>
          <a:ext cx="914399" cy="493776"/>
        </a:xfrm>
        <a:prstGeom prst="rect">
          <a:avLst/>
        </a:prstGeom>
      </xdr:spPr>
    </xdr:pic>
    <xdr:clientData/>
  </xdr:twoCellAnchor>
  <xdr:oneCellAnchor>
    <xdr:from>
      <xdr:col>2</xdr:col>
      <xdr:colOff>28575</xdr:colOff>
      <xdr:row>37</xdr:row>
      <xdr:rowOff>9524</xdr:rowOff>
    </xdr:from>
    <xdr:ext cx="5817534" cy="21097875"/>
    <xdr:sp macro="" textlink="">
      <xdr:nvSpPr>
        <xdr:cNvPr id="12" name="CaixaDeTexto 11">
          <a:extLst>
            <a:ext uri="{FF2B5EF4-FFF2-40B4-BE49-F238E27FC236}">
              <a16:creationId xmlns:a16="http://schemas.microsoft.com/office/drawing/2014/main" id="{00000000-0008-0000-0300-00000C000000}"/>
            </a:ext>
          </a:extLst>
        </xdr:cNvPr>
        <xdr:cNvSpPr txBox="1"/>
      </xdr:nvSpPr>
      <xdr:spPr>
        <a:xfrm>
          <a:off x="400050" y="8181974"/>
          <a:ext cx="5817534" cy="21097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1" i="0">
            <a:solidFill>
              <a:schemeClr val="tx1"/>
            </a:solidFill>
            <a:effectLst/>
            <a:latin typeface="+mn-lt"/>
            <a:ea typeface="+mn-ea"/>
            <a:cs typeface="+mn-cs"/>
          </a:endParaRPr>
        </a:p>
      </xdr:txBody>
    </xdr:sp>
    <xdr:clientData/>
  </xdr:oneCellAnchor>
</xdr:wsDr>
</file>

<file path=xl/tables/table1.xml><?xml version="1.0" encoding="utf-8"?>
<table xmlns="http://schemas.openxmlformats.org/spreadsheetml/2006/main" id="21" name="Agosto22" displayName="Agosto22" ref="K5:Q11" totalsRowShown="0" headerRowDxfId="53" dataDxfId="52">
  <tableColumns count="7">
    <tableColumn id="1" name="DOM" dataDxfId="51"/>
    <tableColumn id="2" name="SEG" dataDxfId="50"/>
    <tableColumn id="3" name="TER" dataDxfId="49"/>
    <tableColumn id="4" name="QUA" dataDxfId="48"/>
    <tableColumn id="5" name="QUI" dataDxfId="47"/>
    <tableColumn id="6" name="SEX" dataDxfId="46"/>
    <tableColumn id="7" name="SÁB" dataDxfId="45"/>
  </tableColumns>
  <tableStyleInfo showFirstColumn="0" showLastColumn="0" showRowStripes="0" showColumnStripes="0"/>
  <extLst>
    <ext xmlns:x14="http://schemas.microsoft.com/office/spreadsheetml/2009/9/main" uri="{504A1905-F514-4f6f-8877-14C23A59335A}">
      <x14:table altTextSummary="Calendário de agosto nesta tabela é atualizado automaticamente com nomes do dia da semana e datas"/>
    </ext>
  </extLst>
</table>
</file>

<file path=xl/tables/table2.xml><?xml version="1.0" encoding="utf-8"?>
<table xmlns="http://schemas.openxmlformats.org/spreadsheetml/2006/main" id="22" name="Julho23" displayName="Julho23" ref="C5:I11" totalsRowShown="0" headerRowDxfId="44" dataDxfId="43">
  <tableColumns count="7">
    <tableColumn id="1" name="DOM" dataDxfId="42"/>
    <tableColumn id="2" name="SEG" dataDxfId="41"/>
    <tableColumn id="3" name="TER" dataDxfId="40"/>
    <tableColumn id="4" name="QUA" dataDxfId="39"/>
    <tableColumn id="5" name="QUI" dataDxfId="38"/>
    <tableColumn id="6" name="SEX" dataDxfId="37"/>
    <tableColumn id="7" name="SÁB" dataDxfId="36"/>
  </tableColumns>
  <tableStyleInfo showFirstColumn="0" showLastColumn="0" showRowStripes="0" showColumnStripes="0"/>
  <extLst>
    <ext xmlns:x14="http://schemas.microsoft.com/office/spreadsheetml/2009/9/main" uri="{504A1905-F514-4f6f-8877-14C23A59335A}">
      <x14:table altTextSummary="Calendário de julho nesta tabela é atualizado automaticamente com nomes do dia da semana e datas"/>
    </ext>
  </extLst>
</table>
</file>

<file path=xl/tables/table3.xml><?xml version="1.0" encoding="utf-8"?>
<table xmlns="http://schemas.openxmlformats.org/spreadsheetml/2006/main" id="1" name="Setembro2" displayName="Setembro2" ref="C5:I11" totalsRowShown="0" headerRowDxfId="35" dataDxfId="34">
  <autoFilter ref="C5:I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33"/>
    <tableColumn id="2" name="SEG" dataDxfId="32"/>
    <tableColumn id="3" name="TER" dataDxfId="31"/>
    <tableColumn id="4" name="QUA" dataDxfId="30"/>
    <tableColumn id="5" name="QUI" dataDxfId="29"/>
    <tableColumn id="6" name="SEX" dataDxfId="28"/>
    <tableColumn id="7" name="SÁB" dataDxfId="27"/>
  </tableColumns>
  <tableStyleInfo showFirstColumn="0" showLastColumn="0" showRowStripes="0" showColumnStripes="0"/>
  <extLst>
    <ext xmlns:x14="http://schemas.microsoft.com/office/spreadsheetml/2009/9/main" uri="{504A1905-F514-4f6f-8877-14C23A59335A}">
      <x14:table altTextSummary="Calendário de setembro nesta tabela é atualizado automaticamente com nomes do dia da semana e datas"/>
    </ext>
  </extLst>
</table>
</file>

<file path=xl/tables/table4.xml><?xml version="1.0" encoding="utf-8"?>
<table xmlns="http://schemas.openxmlformats.org/spreadsheetml/2006/main" id="2" name="Outubro3" displayName="Outubro3" ref="K5:Q11" totalsRowShown="0" headerRowDxfId="26" dataDxfId="25">
  <autoFilter ref="K5:Q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24"/>
    <tableColumn id="2" name="SEG" dataDxfId="23"/>
    <tableColumn id="3" name="TER" dataDxfId="22"/>
    <tableColumn id="4" name="QUA" dataDxfId="21"/>
    <tableColumn id="5" name="QUI" dataDxfId="20"/>
    <tableColumn id="6" name="SEX" dataDxfId="19"/>
    <tableColumn id="7" name="SÁB" dataDxfId="18"/>
  </tableColumns>
  <tableStyleInfo showFirstColumn="0" showLastColumn="0" showRowStripes="0" showColumnStripes="0"/>
  <extLst>
    <ext xmlns:x14="http://schemas.microsoft.com/office/spreadsheetml/2009/9/main" uri="{504A1905-F514-4f6f-8877-14C23A59335A}">
      <x14:table altTextSummary="Calendário de outubro nesta tabela é atualizado automaticamente com nomes do dia da semana e datas"/>
    </ext>
  </extLst>
</table>
</file>

<file path=xl/tables/table5.xml><?xml version="1.0" encoding="utf-8"?>
<table xmlns="http://schemas.openxmlformats.org/spreadsheetml/2006/main" id="27" name="Dezembro428" displayName="Dezembro428" ref="K5:Q11" totalsRowShown="0" headerRowDxfId="17" dataDxfId="16">
  <autoFilter ref="K5:Q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15"/>
    <tableColumn id="2" name="SEG" dataDxfId="14"/>
    <tableColumn id="3" name="TER" dataDxfId="13"/>
    <tableColumn id="4" name="QUA" dataDxfId="12"/>
    <tableColumn id="5" name="QUI" dataDxfId="11"/>
    <tableColumn id="6" name="SEX" dataDxfId="10"/>
    <tableColumn id="7" name="SÁB" dataDxfId="9"/>
  </tableColumns>
  <tableStyleInfo showFirstColumn="0" showLastColumn="0" showRowStripes="0" showColumnStripes="0"/>
  <extLst>
    <ext xmlns:x14="http://schemas.microsoft.com/office/spreadsheetml/2009/9/main" uri="{504A1905-F514-4f6f-8877-14C23A59335A}">
      <x14:table altTextSummary="Calendário de dezembro nesta tabela é atualizado automaticamente com nomes do dia da semana e datas"/>
    </ext>
  </extLst>
</table>
</file>

<file path=xl/tables/table6.xml><?xml version="1.0" encoding="utf-8"?>
<table xmlns="http://schemas.openxmlformats.org/spreadsheetml/2006/main" id="28" name="Novembro529" displayName="Novembro529" ref="C5:I11" totalsRowShown="0" headerRowDxfId="8" dataDxfId="7">
  <autoFilter ref="C5:I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6"/>
    <tableColumn id="2" name="SEG" dataDxfId="5"/>
    <tableColumn id="3" name="TER" dataDxfId="4"/>
    <tableColumn id="4" name="QUA" dataDxfId="3"/>
    <tableColumn id="5" name="QUI" dataDxfId="2"/>
    <tableColumn id="6" name="SEX" dataDxfId="1"/>
    <tableColumn id="7" name="SÁB" dataDxfId="0"/>
  </tableColumns>
  <tableStyleInfo showFirstColumn="0" showLastColumn="0" showRowStripes="0" showColumnStripes="0"/>
  <extLst>
    <ext xmlns:x14="http://schemas.microsoft.com/office/spreadsheetml/2009/9/main" uri="{504A1905-F514-4f6f-8877-14C23A59335A}">
      <x14:table altTextSummary="Calendário de novembro nesta tabela é atualizado automaticamente com nomes do dia da semana e data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ivic">
  <a:themeElements>
    <a:clrScheme name="Small Business Calendar 2">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8FB08C"/>
      </a:hlink>
      <a:folHlink>
        <a:srgbClr val="694F07"/>
      </a:folHlink>
    </a:clrScheme>
    <a:fontScheme name="Custom 2">
      <a:majorFont>
        <a:latin typeface="Calibri"/>
        <a:ea typeface=""/>
        <a:cs typeface=""/>
      </a:majorFont>
      <a:minorFont>
        <a:latin typeface="Calibri"/>
        <a:ea typeface=""/>
        <a:cs typeface=""/>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oferta.sebraemg.com.br/calendario-de-vendas-2024-ia" TargetMode="External"/><Relationship Id="rId6" Type="http://schemas.openxmlformats.org/officeDocument/2006/relationships/table" Target="../tables/table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oferta.sebraemg.com.br/calendario-de-vendas-2024-ia" TargetMode="External"/><Relationship Id="rId6" Type="http://schemas.openxmlformats.org/officeDocument/2006/relationships/table" Target="../tables/table3.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4.xml"/><Relationship Id="rId7"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oferta.sebraemg.com.br/calendario-de-vendas-2024-ia" TargetMode="External"/><Relationship Id="rId6" Type="http://schemas.openxmlformats.org/officeDocument/2006/relationships/table" Target="../tables/table5.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15"/>
  <sheetViews>
    <sheetView showGridLines="0" tabSelected="1" topLeftCell="B1" workbookViewId="0">
      <selection activeCell="A2" sqref="A2:Z2"/>
    </sheetView>
  </sheetViews>
  <sheetFormatPr defaultRowHeight="11.25" x14ac:dyDescent="0.2"/>
  <cols>
    <col min="1" max="1" width="2.83203125" customWidth="1"/>
    <col min="2" max="2" width="92.83203125" style="6" customWidth="1"/>
    <col min="3" max="3" width="2.83203125" customWidth="1"/>
  </cols>
  <sheetData>
    <row r="1" spans="1:26" ht="66.75" customHeight="1" x14ac:dyDescent="0.2">
      <c r="A1" s="111" t="s">
        <v>158</v>
      </c>
      <c r="B1" s="112"/>
      <c r="C1" s="112"/>
      <c r="D1" s="112"/>
      <c r="E1" s="112"/>
      <c r="F1" s="112"/>
      <c r="G1" s="112"/>
      <c r="H1" s="112"/>
      <c r="I1" s="112"/>
      <c r="J1" s="112"/>
      <c r="K1" s="112"/>
      <c r="L1" s="112"/>
      <c r="M1" s="112"/>
      <c r="N1" s="112"/>
      <c r="O1" s="112"/>
      <c r="P1" s="112"/>
      <c r="Q1" s="112"/>
      <c r="R1" s="112"/>
      <c r="S1" s="112"/>
      <c r="T1" s="112"/>
      <c r="U1" s="112"/>
      <c r="V1" s="112"/>
      <c r="W1" s="112"/>
      <c r="X1" s="112"/>
      <c r="Y1" s="112"/>
      <c r="Z1" s="112"/>
    </row>
    <row r="2" spans="1:26" ht="30" customHeight="1" x14ac:dyDescent="0.55000000000000004">
      <c r="A2" s="113" t="s">
        <v>161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26" s="40" customFormat="1" ht="30" customHeight="1" x14ac:dyDescent="0.2"/>
    <row r="4" spans="1:26" s="40" customFormat="1" ht="30" customHeight="1" x14ac:dyDescent="0.2"/>
    <row r="5" spans="1:26" s="40" customFormat="1" ht="65.25" customHeight="1" x14ac:dyDescent="0.2"/>
    <row r="6" spans="1:26" s="40" customFormat="1" x14ac:dyDescent="0.2"/>
    <row r="7" spans="1:26" s="40" customFormat="1" ht="15" x14ac:dyDescent="0.2">
      <c r="B7" s="41"/>
    </row>
    <row r="8" spans="1:26" s="40" customFormat="1" x14ac:dyDescent="0.2">
      <c r="B8" s="42"/>
    </row>
    <row r="9" spans="1:26" s="40" customFormat="1" x14ac:dyDescent="0.2">
      <c r="B9" s="42"/>
    </row>
    <row r="10" spans="1:26" s="40" customFormat="1" x14ac:dyDescent="0.2">
      <c r="B10" s="42"/>
    </row>
    <row r="11" spans="1:26" s="40" customFormat="1" x14ac:dyDescent="0.2">
      <c r="B11" s="42"/>
    </row>
    <row r="12" spans="1:26" s="40" customFormat="1" x14ac:dyDescent="0.2">
      <c r="B12" s="42"/>
      <c r="E12"/>
    </row>
    <row r="13" spans="1:26" s="40" customFormat="1" x14ac:dyDescent="0.2">
      <c r="B13" s="42"/>
    </row>
    <row r="14" spans="1:26" s="40" customFormat="1" x14ac:dyDescent="0.2">
      <c r="B14" s="42"/>
    </row>
    <row r="15" spans="1:26" s="40" customFormat="1" x14ac:dyDescent="0.2">
      <c r="B15" s="42"/>
    </row>
    <row r="16" spans="1:26" s="40" customFormat="1" x14ac:dyDescent="0.2">
      <c r="B16" s="42"/>
    </row>
    <row r="17" spans="2:2" s="40" customFormat="1" x14ac:dyDescent="0.2">
      <c r="B17" s="42"/>
    </row>
    <row r="18" spans="2:2" s="40" customFormat="1" x14ac:dyDescent="0.2">
      <c r="B18" s="42"/>
    </row>
    <row r="19" spans="2:2" s="40" customFormat="1" x14ac:dyDescent="0.2">
      <c r="B19" s="42"/>
    </row>
    <row r="20" spans="2:2" s="40" customFormat="1" x14ac:dyDescent="0.2">
      <c r="B20" s="42"/>
    </row>
    <row r="21" spans="2:2" s="40" customFormat="1" x14ac:dyDescent="0.2">
      <c r="B21" s="42"/>
    </row>
    <row r="22" spans="2:2" s="40" customFormat="1" x14ac:dyDescent="0.2">
      <c r="B22" s="42"/>
    </row>
    <row r="23" spans="2:2" s="40" customFormat="1" x14ac:dyDescent="0.2">
      <c r="B23" s="42"/>
    </row>
    <row r="24" spans="2:2" s="40" customFormat="1" x14ac:dyDescent="0.2">
      <c r="B24" s="42"/>
    </row>
    <row r="25" spans="2:2" s="40" customFormat="1" x14ac:dyDescent="0.2">
      <c r="B25" s="42"/>
    </row>
    <row r="26" spans="2:2" s="40" customFormat="1" x14ac:dyDescent="0.2">
      <c r="B26" s="42"/>
    </row>
    <row r="27" spans="2:2" s="40" customFormat="1" x14ac:dyDescent="0.2">
      <c r="B27" s="42"/>
    </row>
    <row r="28" spans="2:2" s="40" customFormat="1" x14ac:dyDescent="0.2">
      <c r="B28" s="42"/>
    </row>
    <row r="29" spans="2:2" s="40" customFormat="1" x14ac:dyDescent="0.2">
      <c r="B29" s="42"/>
    </row>
    <row r="30" spans="2:2" s="40" customFormat="1" x14ac:dyDescent="0.2">
      <c r="B30" s="42"/>
    </row>
    <row r="31" spans="2:2" s="40" customFormat="1" x14ac:dyDescent="0.2">
      <c r="B31" s="42"/>
    </row>
    <row r="32" spans="2:2" s="40" customFormat="1" x14ac:dyDescent="0.2">
      <c r="B32" s="42"/>
    </row>
    <row r="33" spans="2:2" s="40" customFormat="1" x14ac:dyDescent="0.2">
      <c r="B33" s="42"/>
    </row>
    <row r="34" spans="2:2" s="40" customFormat="1" x14ac:dyDescent="0.2">
      <c r="B34" s="42"/>
    </row>
    <row r="35" spans="2:2" s="40" customFormat="1" x14ac:dyDescent="0.2">
      <c r="B35" s="42"/>
    </row>
    <row r="36" spans="2:2" s="40" customFormat="1" x14ac:dyDescent="0.2">
      <c r="B36" s="42"/>
    </row>
    <row r="37" spans="2:2" s="40" customFormat="1" x14ac:dyDescent="0.2">
      <c r="B37" s="42"/>
    </row>
    <row r="38" spans="2:2" s="40" customFormat="1" x14ac:dyDescent="0.2">
      <c r="B38" s="42"/>
    </row>
    <row r="39" spans="2:2" s="40" customFormat="1" x14ac:dyDescent="0.2">
      <c r="B39" s="42"/>
    </row>
    <row r="40" spans="2:2" s="40" customFormat="1" x14ac:dyDescent="0.2">
      <c r="B40" s="42"/>
    </row>
    <row r="41" spans="2:2" s="40" customFormat="1" x14ac:dyDescent="0.2">
      <c r="B41" s="42"/>
    </row>
    <row r="42" spans="2:2" s="40" customFormat="1" x14ac:dyDescent="0.2">
      <c r="B42" s="42"/>
    </row>
    <row r="43" spans="2:2" s="40" customFormat="1" x14ac:dyDescent="0.2">
      <c r="B43" s="42"/>
    </row>
    <row r="44" spans="2:2" s="40" customFormat="1" x14ac:dyDescent="0.2">
      <c r="B44" s="42"/>
    </row>
    <row r="45" spans="2:2" s="40" customFormat="1" x14ac:dyDescent="0.2">
      <c r="B45" s="42"/>
    </row>
    <row r="46" spans="2:2" s="40" customFormat="1" x14ac:dyDescent="0.2">
      <c r="B46" s="42"/>
    </row>
    <row r="47" spans="2:2" s="40" customFormat="1" x14ac:dyDescent="0.2">
      <c r="B47" s="42"/>
    </row>
    <row r="48" spans="2:2" s="40" customFormat="1" x14ac:dyDescent="0.2">
      <c r="B48" s="42"/>
    </row>
    <row r="49" spans="2:2" s="40" customFormat="1" x14ac:dyDescent="0.2">
      <c r="B49" s="42"/>
    </row>
    <row r="50" spans="2:2" s="40" customFormat="1" x14ac:dyDescent="0.2">
      <c r="B50" s="42"/>
    </row>
    <row r="51" spans="2:2" s="40" customFormat="1" x14ac:dyDescent="0.2">
      <c r="B51" s="42"/>
    </row>
    <row r="52" spans="2:2" s="40" customFormat="1" x14ac:dyDescent="0.2">
      <c r="B52" s="42"/>
    </row>
    <row r="53" spans="2:2" s="40" customFormat="1" x14ac:dyDescent="0.2">
      <c r="B53" s="42"/>
    </row>
    <row r="54" spans="2:2" s="40" customFormat="1" x14ac:dyDescent="0.2">
      <c r="B54" s="42"/>
    </row>
    <row r="55" spans="2:2" s="40" customFormat="1" x14ac:dyDescent="0.2">
      <c r="B55" s="42"/>
    </row>
    <row r="56" spans="2:2" s="40" customFormat="1" x14ac:dyDescent="0.2">
      <c r="B56" s="42"/>
    </row>
    <row r="57" spans="2:2" s="40" customFormat="1" x14ac:dyDescent="0.2">
      <c r="B57" s="42"/>
    </row>
    <row r="58" spans="2:2" s="40" customFormat="1" x14ac:dyDescent="0.2">
      <c r="B58" s="42"/>
    </row>
    <row r="59" spans="2:2" s="40" customFormat="1" x14ac:dyDescent="0.2">
      <c r="B59" s="42"/>
    </row>
    <row r="60" spans="2:2" s="40" customFormat="1" x14ac:dyDescent="0.2">
      <c r="B60" s="42"/>
    </row>
    <row r="61" spans="2:2" s="40" customFormat="1" x14ac:dyDescent="0.2">
      <c r="B61" s="42"/>
    </row>
    <row r="62" spans="2:2" s="40" customFormat="1" x14ac:dyDescent="0.2">
      <c r="B62" s="42"/>
    </row>
    <row r="63" spans="2:2" s="40" customFormat="1" x14ac:dyDescent="0.2">
      <c r="B63" s="42"/>
    </row>
    <row r="64" spans="2:2" s="40" customFormat="1" x14ac:dyDescent="0.2">
      <c r="B64" s="42"/>
    </row>
    <row r="65" spans="2:2" s="40" customFormat="1" x14ac:dyDescent="0.2">
      <c r="B65" s="42"/>
    </row>
    <row r="66" spans="2:2" s="40" customFormat="1" x14ac:dyDescent="0.2">
      <c r="B66" s="42"/>
    </row>
    <row r="67" spans="2:2" s="40" customFormat="1" x14ac:dyDescent="0.2">
      <c r="B67" s="42"/>
    </row>
    <row r="68" spans="2:2" s="40" customFormat="1" x14ac:dyDescent="0.2">
      <c r="B68" s="42"/>
    </row>
    <row r="69" spans="2:2" s="40" customFormat="1" x14ac:dyDescent="0.2">
      <c r="B69" s="42"/>
    </row>
    <row r="70" spans="2:2" s="40" customFormat="1" x14ac:dyDescent="0.2">
      <c r="B70" s="42"/>
    </row>
    <row r="71" spans="2:2" s="40" customFormat="1" x14ac:dyDescent="0.2">
      <c r="B71" s="42"/>
    </row>
    <row r="72" spans="2:2" s="40" customFormat="1" x14ac:dyDescent="0.2">
      <c r="B72" s="42"/>
    </row>
    <row r="73" spans="2:2" s="40" customFormat="1" x14ac:dyDescent="0.2">
      <c r="B73" s="42"/>
    </row>
    <row r="74" spans="2:2" s="40" customFormat="1" x14ac:dyDescent="0.2">
      <c r="B74" s="42"/>
    </row>
    <row r="75" spans="2:2" s="40" customFormat="1" x14ac:dyDescent="0.2">
      <c r="B75" s="42"/>
    </row>
    <row r="76" spans="2:2" s="40" customFormat="1" x14ac:dyDescent="0.2">
      <c r="B76" s="42"/>
    </row>
    <row r="77" spans="2:2" s="40" customFormat="1" x14ac:dyDescent="0.2">
      <c r="B77" s="42"/>
    </row>
    <row r="78" spans="2:2" s="40" customFormat="1" x14ac:dyDescent="0.2">
      <c r="B78" s="42"/>
    </row>
    <row r="79" spans="2:2" s="40" customFormat="1" x14ac:dyDescent="0.2">
      <c r="B79" s="42"/>
    </row>
    <row r="80" spans="2:2" s="40" customFormat="1" x14ac:dyDescent="0.2">
      <c r="B80" s="42"/>
    </row>
    <row r="81" spans="2:2" s="40" customFormat="1" x14ac:dyDescent="0.2">
      <c r="B81" s="42"/>
    </row>
    <row r="82" spans="2:2" s="40" customFormat="1" x14ac:dyDescent="0.2">
      <c r="B82" s="42"/>
    </row>
    <row r="83" spans="2:2" s="40" customFormat="1" x14ac:dyDescent="0.2">
      <c r="B83" s="42"/>
    </row>
    <row r="84" spans="2:2" s="40" customFormat="1" x14ac:dyDescent="0.2">
      <c r="B84" s="42"/>
    </row>
    <row r="85" spans="2:2" s="40" customFormat="1" x14ac:dyDescent="0.2">
      <c r="B85" s="42"/>
    </row>
    <row r="86" spans="2:2" s="40" customFormat="1" x14ac:dyDescent="0.2">
      <c r="B86" s="42"/>
    </row>
    <row r="87" spans="2:2" s="40" customFormat="1" x14ac:dyDescent="0.2">
      <c r="B87" s="42"/>
    </row>
    <row r="88" spans="2:2" s="40" customFormat="1" x14ac:dyDescent="0.2">
      <c r="B88" s="42"/>
    </row>
    <row r="89" spans="2:2" s="40" customFormat="1" x14ac:dyDescent="0.2">
      <c r="B89" s="42"/>
    </row>
    <row r="90" spans="2:2" s="40" customFormat="1" x14ac:dyDescent="0.2">
      <c r="B90" s="42"/>
    </row>
    <row r="91" spans="2:2" s="40" customFormat="1" x14ac:dyDescent="0.2">
      <c r="B91" s="42"/>
    </row>
    <row r="92" spans="2:2" s="40" customFormat="1" x14ac:dyDescent="0.2">
      <c r="B92" s="42"/>
    </row>
    <row r="93" spans="2:2" s="40" customFormat="1" x14ac:dyDescent="0.2">
      <c r="B93" s="42"/>
    </row>
    <row r="94" spans="2:2" s="40" customFormat="1" x14ac:dyDescent="0.2">
      <c r="B94" s="42"/>
    </row>
    <row r="95" spans="2:2" s="40" customFormat="1" x14ac:dyDescent="0.2">
      <c r="B95" s="42"/>
    </row>
    <row r="96" spans="2:2" s="40" customFormat="1" x14ac:dyDescent="0.2">
      <c r="B96" s="42"/>
    </row>
    <row r="97" spans="2:2" s="40" customFormat="1" x14ac:dyDescent="0.2">
      <c r="B97" s="42"/>
    </row>
    <row r="98" spans="2:2" s="40" customFormat="1" x14ac:dyDescent="0.2">
      <c r="B98" s="42"/>
    </row>
    <row r="99" spans="2:2" s="40" customFormat="1" x14ac:dyDescent="0.2">
      <c r="B99" s="42"/>
    </row>
    <row r="100" spans="2:2" s="40" customFormat="1" x14ac:dyDescent="0.2">
      <c r="B100" s="42"/>
    </row>
    <row r="101" spans="2:2" s="40" customFormat="1" x14ac:dyDescent="0.2">
      <c r="B101" s="42"/>
    </row>
    <row r="102" spans="2:2" s="40" customFormat="1" x14ac:dyDescent="0.2">
      <c r="B102" s="42"/>
    </row>
    <row r="103" spans="2:2" s="40" customFormat="1" x14ac:dyDescent="0.2">
      <c r="B103" s="42"/>
    </row>
    <row r="104" spans="2:2" s="40" customFormat="1" x14ac:dyDescent="0.2">
      <c r="B104" s="42"/>
    </row>
    <row r="105" spans="2:2" s="40" customFormat="1" x14ac:dyDescent="0.2">
      <c r="B105" s="42"/>
    </row>
    <row r="106" spans="2:2" s="40" customFormat="1" x14ac:dyDescent="0.2">
      <c r="B106" s="42"/>
    </row>
    <row r="107" spans="2:2" s="40" customFormat="1" x14ac:dyDescent="0.2">
      <c r="B107" s="42"/>
    </row>
    <row r="108" spans="2:2" s="40" customFormat="1" x14ac:dyDescent="0.2">
      <c r="B108" s="42"/>
    </row>
    <row r="109" spans="2:2" s="40" customFormat="1" x14ac:dyDescent="0.2">
      <c r="B109" s="42"/>
    </row>
    <row r="110" spans="2:2" s="40" customFormat="1" x14ac:dyDescent="0.2">
      <c r="B110" s="42"/>
    </row>
    <row r="111" spans="2:2" s="40" customFormat="1" x14ac:dyDescent="0.2">
      <c r="B111" s="42"/>
    </row>
    <row r="112" spans="2:2" s="40" customFormat="1" x14ac:dyDescent="0.2">
      <c r="B112" s="42"/>
    </row>
    <row r="113" spans="2:2" s="40" customFormat="1" x14ac:dyDescent="0.2">
      <c r="B113" s="42"/>
    </row>
    <row r="114" spans="2:2" s="40" customFormat="1" x14ac:dyDescent="0.2">
      <c r="B114" s="42"/>
    </row>
    <row r="115" spans="2:2" s="40" customFormat="1" x14ac:dyDescent="0.2">
      <c r="B115" s="42"/>
    </row>
    <row r="116" spans="2:2" s="40" customFormat="1" x14ac:dyDescent="0.2">
      <c r="B116" s="42"/>
    </row>
    <row r="117" spans="2:2" s="40" customFormat="1" x14ac:dyDescent="0.2">
      <c r="B117" s="42"/>
    </row>
    <row r="118" spans="2:2" s="40" customFormat="1" x14ac:dyDescent="0.2">
      <c r="B118" s="42"/>
    </row>
    <row r="119" spans="2:2" s="40" customFormat="1" x14ac:dyDescent="0.2">
      <c r="B119" s="42"/>
    </row>
    <row r="120" spans="2:2" s="40" customFormat="1" x14ac:dyDescent="0.2">
      <c r="B120" s="42"/>
    </row>
    <row r="121" spans="2:2" s="40" customFormat="1" x14ac:dyDescent="0.2">
      <c r="B121" s="42"/>
    </row>
    <row r="122" spans="2:2" s="40" customFormat="1" x14ac:dyDescent="0.2">
      <c r="B122" s="42"/>
    </row>
    <row r="123" spans="2:2" s="40" customFormat="1" x14ac:dyDescent="0.2">
      <c r="B123" s="42"/>
    </row>
    <row r="124" spans="2:2" s="40" customFormat="1" x14ac:dyDescent="0.2">
      <c r="B124" s="42"/>
    </row>
    <row r="125" spans="2:2" s="40" customFormat="1" x14ac:dyDescent="0.2">
      <c r="B125" s="42"/>
    </row>
    <row r="126" spans="2:2" s="40" customFormat="1" x14ac:dyDescent="0.2">
      <c r="B126" s="42"/>
    </row>
    <row r="127" spans="2:2" s="40" customFormat="1" x14ac:dyDescent="0.2">
      <c r="B127" s="42"/>
    </row>
    <row r="128" spans="2:2" s="40" customFormat="1" x14ac:dyDescent="0.2">
      <c r="B128" s="42"/>
    </row>
    <row r="129" spans="2:2" s="40" customFormat="1" x14ac:dyDescent="0.2">
      <c r="B129" s="42"/>
    </row>
    <row r="130" spans="2:2" s="40" customFormat="1" x14ac:dyDescent="0.2">
      <c r="B130" s="42"/>
    </row>
    <row r="131" spans="2:2" s="40" customFormat="1" x14ac:dyDescent="0.2">
      <c r="B131" s="42"/>
    </row>
    <row r="132" spans="2:2" s="40" customFormat="1" x14ac:dyDescent="0.2">
      <c r="B132" s="42"/>
    </row>
    <row r="133" spans="2:2" s="40" customFormat="1" x14ac:dyDescent="0.2">
      <c r="B133" s="42"/>
    </row>
    <row r="134" spans="2:2" s="40" customFormat="1" x14ac:dyDescent="0.2">
      <c r="B134" s="42"/>
    </row>
    <row r="135" spans="2:2" s="40" customFormat="1" x14ac:dyDescent="0.2">
      <c r="B135" s="42"/>
    </row>
    <row r="136" spans="2:2" s="40" customFormat="1" x14ac:dyDescent="0.2">
      <c r="B136" s="42"/>
    </row>
    <row r="137" spans="2:2" s="40" customFormat="1" x14ac:dyDescent="0.2">
      <c r="B137" s="42"/>
    </row>
    <row r="138" spans="2:2" s="40" customFormat="1" x14ac:dyDescent="0.2">
      <c r="B138" s="42"/>
    </row>
    <row r="139" spans="2:2" s="40" customFormat="1" x14ac:dyDescent="0.2">
      <c r="B139" s="42"/>
    </row>
    <row r="140" spans="2:2" s="40" customFormat="1" x14ac:dyDescent="0.2">
      <c r="B140" s="42"/>
    </row>
    <row r="141" spans="2:2" s="40" customFormat="1" x14ac:dyDescent="0.2">
      <c r="B141" s="42"/>
    </row>
    <row r="142" spans="2:2" s="40" customFormat="1" x14ac:dyDescent="0.2">
      <c r="B142" s="42"/>
    </row>
    <row r="143" spans="2:2" s="40" customFormat="1" x14ac:dyDescent="0.2">
      <c r="B143" s="42"/>
    </row>
    <row r="144" spans="2:2" s="40" customFormat="1" x14ac:dyDescent="0.2">
      <c r="B144" s="42"/>
    </row>
    <row r="145" spans="2:2" s="40" customFormat="1" x14ac:dyDescent="0.2">
      <c r="B145" s="42"/>
    </row>
    <row r="146" spans="2:2" s="40" customFormat="1" x14ac:dyDescent="0.2">
      <c r="B146" s="42"/>
    </row>
    <row r="147" spans="2:2" s="40" customFormat="1" x14ac:dyDescent="0.2">
      <c r="B147" s="42"/>
    </row>
    <row r="148" spans="2:2" s="40" customFormat="1" x14ac:dyDescent="0.2">
      <c r="B148" s="42"/>
    </row>
    <row r="149" spans="2:2" s="40" customFormat="1" x14ac:dyDescent="0.2">
      <c r="B149" s="42"/>
    </row>
    <row r="150" spans="2:2" s="40" customFormat="1" x14ac:dyDescent="0.2">
      <c r="B150" s="42"/>
    </row>
    <row r="151" spans="2:2" s="40" customFormat="1" x14ac:dyDescent="0.2">
      <c r="B151" s="42"/>
    </row>
    <row r="152" spans="2:2" s="40" customFormat="1" x14ac:dyDescent="0.2">
      <c r="B152" s="42"/>
    </row>
    <row r="153" spans="2:2" s="40" customFormat="1" x14ac:dyDescent="0.2">
      <c r="B153" s="42"/>
    </row>
    <row r="154" spans="2:2" s="40" customFormat="1" x14ac:dyDescent="0.2">
      <c r="B154" s="42"/>
    </row>
    <row r="155" spans="2:2" s="40" customFormat="1" x14ac:dyDescent="0.2">
      <c r="B155" s="42"/>
    </row>
    <row r="156" spans="2:2" s="40" customFormat="1" x14ac:dyDescent="0.2">
      <c r="B156" s="42"/>
    </row>
    <row r="157" spans="2:2" s="40" customFormat="1" x14ac:dyDescent="0.2">
      <c r="B157" s="42"/>
    </row>
    <row r="158" spans="2:2" s="40" customFormat="1" x14ac:dyDescent="0.2">
      <c r="B158" s="42"/>
    </row>
    <row r="159" spans="2:2" s="40" customFormat="1" x14ac:dyDescent="0.2">
      <c r="B159" s="42"/>
    </row>
    <row r="160" spans="2:2" s="40" customFormat="1" x14ac:dyDescent="0.2">
      <c r="B160" s="42"/>
    </row>
    <row r="161" spans="2:2" s="40" customFormat="1" x14ac:dyDescent="0.2">
      <c r="B161" s="42"/>
    </row>
    <row r="162" spans="2:2" s="40" customFormat="1" x14ac:dyDescent="0.2">
      <c r="B162" s="42"/>
    </row>
    <row r="163" spans="2:2" s="40" customFormat="1" x14ac:dyDescent="0.2">
      <c r="B163" s="42"/>
    </row>
    <row r="164" spans="2:2" s="40" customFormat="1" x14ac:dyDescent="0.2">
      <c r="B164" s="42"/>
    </row>
    <row r="165" spans="2:2" s="40" customFormat="1" x14ac:dyDescent="0.2">
      <c r="B165" s="42"/>
    </row>
    <row r="166" spans="2:2" s="40" customFormat="1" x14ac:dyDescent="0.2">
      <c r="B166" s="42"/>
    </row>
    <row r="167" spans="2:2" s="40" customFormat="1" x14ac:dyDescent="0.2">
      <c r="B167" s="42"/>
    </row>
    <row r="168" spans="2:2" s="40" customFormat="1" x14ac:dyDescent="0.2">
      <c r="B168" s="42"/>
    </row>
    <row r="169" spans="2:2" s="40" customFormat="1" x14ac:dyDescent="0.2">
      <c r="B169" s="42"/>
    </row>
    <row r="170" spans="2:2" s="40" customFormat="1" x14ac:dyDescent="0.2">
      <c r="B170" s="42"/>
    </row>
    <row r="171" spans="2:2" s="40" customFormat="1" x14ac:dyDescent="0.2">
      <c r="B171" s="42"/>
    </row>
    <row r="172" spans="2:2" s="40" customFormat="1" x14ac:dyDescent="0.2">
      <c r="B172" s="42"/>
    </row>
    <row r="173" spans="2:2" s="40" customFormat="1" x14ac:dyDescent="0.2">
      <c r="B173" s="42"/>
    </row>
    <row r="174" spans="2:2" s="40" customFormat="1" x14ac:dyDescent="0.2">
      <c r="B174" s="42"/>
    </row>
    <row r="175" spans="2:2" s="40" customFormat="1" x14ac:dyDescent="0.2">
      <c r="B175" s="42"/>
    </row>
    <row r="176" spans="2:2" s="40" customFormat="1" x14ac:dyDescent="0.2">
      <c r="B176" s="42"/>
    </row>
    <row r="177" spans="1:22" s="40" customFormat="1" x14ac:dyDescent="0.2">
      <c r="B177" s="42"/>
    </row>
    <row r="178" spans="1:22" s="40" customFormat="1" x14ac:dyDescent="0.2">
      <c r="B178" s="42"/>
    </row>
    <row r="179" spans="1:22" s="40" customFormat="1" x14ac:dyDescent="0.2">
      <c r="B179" s="42"/>
    </row>
    <row r="180" spans="1:22" s="40" customFormat="1" x14ac:dyDescent="0.2">
      <c r="B180" s="42"/>
    </row>
    <row r="181" spans="1:22" s="40" customFormat="1" x14ac:dyDescent="0.2">
      <c r="B181" s="42"/>
    </row>
    <row r="182" spans="1:22" s="40" customFormat="1" x14ac:dyDescent="0.2">
      <c r="B182" s="42"/>
    </row>
    <row r="183" spans="1:22" s="40" customFormat="1" x14ac:dyDescent="0.2">
      <c r="B183" s="42"/>
    </row>
    <row r="184" spans="1:22" s="40" customFormat="1" x14ac:dyDescent="0.2">
      <c r="B184" s="42"/>
    </row>
    <row r="185" spans="1:22" s="40" customFormat="1" x14ac:dyDescent="0.2">
      <c r="B185" s="42"/>
    </row>
    <row r="186" spans="1:22" s="40" customFormat="1" x14ac:dyDescent="0.2">
      <c r="B186" s="42"/>
    </row>
    <row r="187" spans="1:22" s="4" customFormat="1" x14ac:dyDescent="0.2">
      <c r="A187" s="14"/>
      <c r="B187" s="39"/>
      <c r="C187" s="14"/>
      <c r="D187" s="14"/>
      <c r="E187" s="14"/>
      <c r="F187" s="14"/>
      <c r="G187" s="14"/>
      <c r="H187" s="14"/>
      <c r="I187" s="14"/>
      <c r="J187" s="14"/>
      <c r="K187" s="14"/>
      <c r="L187" s="14"/>
      <c r="M187" s="14"/>
      <c r="N187" s="14"/>
      <c r="O187" s="14"/>
      <c r="P187" s="14"/>
      <c r="Q187" s="14"/>
      <c r="R187" s="14"/>
      <c r="S187" s="14"/>
      <c r="T187" s="14"/>
      <c r="U187" s="14"/>
      <c r="V187" s="14"/>
    </row>
    <row r="188" spans="1:22" s="4" customFormat="1" x14ac:dyDescent="0.2">
      <c r="A188" s="14"/>
      <c r="B188" s="39"/>
      <c r="C188" s="14"/>
      <c r="D188" s="14"/>
      <c r="E188" s="14"/>
      <c r="F188" s="14"/>
      <c r="G188" s="14"/>
      <c r="H188" s="14"/>
      <c r="I188" s="14"/>
      <c r="J188" s="14"/>
      <c r="K188" s="14"/>
      <c r="L188" s="14"/>
      <c r="M188" s="14"/>
      <c r="N188" s="14"/>
      <c r="O188" s="14"/>
      <c r="P188" s="14"/>
      <c r="Q188" s="14"/>
      <c r="R188" s="14"/>
      <c r="S188" s="14"/>
      <c r="T188" s="14"/>
      <c r="U188" s="14"/>
      <c r="V188" s="14"/>
    </row>
    <row r="189" spans="1:22" s="4" customFormat="1" x14ac:dyDescent="0.2">
      <c r="A189" s="14"/>
      <c r="B189" s="39"/>
      <c r="C189" s="14"/>
      <c r="D189" s="14"/>
      <c r="E189" s="14"/>
      <c r="F189" s="14"/>
      <c r="G189" s="14"/>
      <c r="H189" s="14"/>
      <c r="I189" s="14"/>
      <c r="J189" s="14"/>
      <c r="K189" s="14"/>
      <c r="L189" s="14"/>
      <c r="M189" s="14"/>
      <c r="N189" s="14"/>
      <c r="O189" s="14"/>
      <c r="P189" s="14"/>
      <c r="Q189" s="14"/>
      <c r="R189" s="14"/>
      <c r="S189" s="14"/>
      <c r="T189" s="14"/>
      <c r="U189" s="14"/>
      <c r="V189" s="14"/>
    </row>
    <row r="190" spans="1:22" s="4" customFormat="1" x14ac:dyDescent="0.2">
      <c r="A190" s="14"/>
      <c r="B190" s="39"/>
      <c r="C190" s="14"/>
      <c r="D190" s="14"/>
      <c r="E190" s="14"/>
      <c r="F190" s="14"/>
      <c r="G190" s="14"/>
      <c r="H190" s="14"/>
      <c r="I190" s="14"/>
      <c r="J190" s="14"/>
      <c r="K190" s="14"/>
      <c r="L190" s="14"/>
      <c r="M190" s="14"/>
      <c r="N190" s="14"/>
      <c r="O190" s="14"/>
      <c r="P190" s="14"/>
      <c r="Q190" s="14"/>
      <c r="R190" s="14"/>
      <c r="S190" s="14"/>
      <c r="T190" s="14"/>
      <c r="U190" s="14"/>
      <c r="V190" s="14"/>
    </row>
    <row r="191" spans="1:22" s="4" customFormat="1" x14ac:dyDescent="0.2">
      <c r="A191" s="14"/>
      <c r="B191" s="39"/>
      <c r="C191" s="14"/>
      <c r="D191" s="14"/>
      <c r="E191" s="14"/>
      <c r="F191" s="14"/>
      <c r="G191" s="14"/>
      <c r="H191" s="14"/>
      <c r="I191" s="14"/>
      <c r="J191" s="14"/>
      <c r="K191" s="14"/>
      <c r="L191" s="14"/>
      <c r="M191" s="14"/>
      <c r="N191" s="14"/>
      <c r="O191" s="14"/>
      <c r="P191" s="14"/>
      <c r="Q191" s="14"/>
      <c r="R191" s="14"/>
      <c r="S191" s="14"/>
      <c r="T191" s="14"/>
      <c r="U191" s="14"/>
      <c r="V191" s="14"/>
    </row>
    <row r="192" spans="1:22" s="4" customFormat="1" x14ac:dyDescent="0.2">
      <c r="A192" s="14"/>
      <c r="B192" s="39"/>
      <c r="C192" s="14"/>
      <c r="D192" s="14"/>
      <c r="E192" s="14"/>
      <c r="F192" s="14"/>
      <c r="G192" s="14"/>
      <c r="H192" s="14"/>
      <c r="I192" s="14"/>
      <c r="J192" s="14"/>
      <c r="K192" s="14"/>
      <c r="L192" s="14"/>
      <c r="M192" s="14"/>
      <c r="N192" s="14"/>
      <c r="O192" s="14"/>
      <c r="P192" s="14"/>
      <c r="Q192" s="14"/>
      <c r="R192" s="14"/>
      <c r="S192" s="14"/>
      <c r="T192" s="14"/>
      <c r="U192" s="14"/>
      <c r="V192" s="14"/>
    </row>
    <row r="193" spans="1:22" s="4" customFormat="1" x14ac:dyDescent="0.2">
      <c r="A193" s="14"/>
      <c r="B193" s="39"/>
      <c r="C193" s="14"/>
      <c r="D193" s="14"/>
      <c r="E193" s="14"/>
      <c r="F193" s="14"/>
      <c r="G193" s="14"/>
      <c r="H193" s="14"/>
      <c r="I193" s="14"/>
      <c r="J193" s="14"/>
      <c r="K193" s="14"/>
      <c r="L193" s="14"/>
      <c r="M193" s="14"/>
      <c r="N193" s="14"/>
      <c r="O193" s="14"/>
      <c r="P193" s="14"/>
      <c r="Q193" s="14"/>
      <c r="R193" s="14"/>
      <c r="S193" s="14"/>
      <c r="T193" s="14"/>
      <c r="U193" s="14"/>
      <c r="V193" s="14"/>
    </row>
    <row r="194" spans="1:22" s="4" customFormat="1" x14ac:dyDescent="0.2">
      <c r="A194" s="14"/>
      <c r="B194" s="39"/>
      <c r="C194" s="14"/>
      <c r="D194" s="14"/>
      <c r="E194" s="14"/>
      <c r="F194" s="14"/>
      <c r="G194" s="14"/>
      <c r="H194" s="14"/>
      <c r="I194" s="14"/>
      <c r="J194" s="14"/>
      <c r="K194" s="14"/>
      <c r="L194" s="14"/>
      <c r="M194" s="14"/>
      <c r="N194" s="14"/>
      <c r="O194" s="14"/>
      <c r="P194" s="14"/>
      <c r="Q194" s="14"/>
      <c r="R194" s="14"/>
      <c r="S194" s="14"/>
      <c r="T194" s="14"/>
      <c r="U194" s="14"/>
      <c r="V194" s="14"/>
    </row>
    <row r="195" spans="1:22" s="4" customFormat="1" x14ac:dyDescent="0.2">
      <c r="A195" s="14"/>
      <c r="B195" s="39"/>
      <c r="C195" s="14"/>
      <c r="D195" s="14"/>
      <c r="E195" s="14"/>
      <c r="F195" s="14"/>
      <c r="G195" s="14"/>
      <c r="H195" s="14"/>
      <c r="I195" s="14"/>
      <c r="J195" s="14"/>
      <c r="K195" s="14"/>
      <c r="L195" s="14"/>
      <c r="M195" s="14"/>
      <c r="N195" s="14"/>
      <c r="O195" s="14"/>
      <c r="P195" s="14"/>
      <c r="Q195" s="14"/>
      <c r="R195" s="14"/>
      <c r="S195" s="14"/>
      <c r="T195" s="14"/>
      <c r="U195" s="14"/>
      <c r="V195" s="14"/>
    </row>
    <row r="196" spans="1:22" s="4" customFormat="1" x14ac:dyDescent="0.2">
      <c r="A196" s="14"/>
      <c r="B196" s="39"/>
      <c r="C196" s="14"/>
      <c r="D196" s="14"/>
      <c r="E196" s="14"/>
      <c r="F196" s="14"/>
      <c r="G196" s="14"/>
      <c r="H196" s="14"/>
      <c r="I196" s="14"/>
      <c r="J196" s="14"/>
      <c r="K196" s="14"/>
      <c r="L196" s="14"/>
      <c r="M196" s="14"/>
      <c r="N196" s="14"/>
      <c r="O196" s="14"/>
      <c r="P196" s="14"/>
      <c r="Q196" s="14"/>
      <c r="R196" s="14"/>
      <c r="S196" s="14"/>
      <c r="T196" s="14"/>
      <c r="U196" s="14"/>
      <c r="V196" s="14"/>
    </row>
    <row r="197" spans="1:22" s="4" customFormat="1" x14ac:dyDescent="0.2">
      <c r="A197" s="14"/>
      <c r="B197" s="39"/>
      <c r="C197" s="14"/>
      <c r="D197" s="14"/>
      <c r="E197" s="14"/>
      <c r="F197" s="14"/>
      <c r="G197" s="14"/>
      <c r="H197" s="14"/>
      <c r="I197" s="14"/>
      <c r="J197" s="14"/>
      <c r="K197" s="14"/>
      <c r="L197" s="14"/>
      <c r="M197" s="14"/>
      <c r="N197" s="14"/>
      <c r="O197" s="14"/>
      <c r="P197" s="14"/>
      <c r="Q197" s="14"/>
      <c r="R197" s="14"/>
      <c r="S197" s="14"/>
      <c r="T197" s="14"/>
      <c r="U197" s="14"/>
      <c r="V197" s="14"/>
    </row>
    <row r="198" spans="1:22" s="4" customFormat="1" x14ac:dyDescent="0.2">
      <c r="A198" s="14"/>
      <c r="B198" s="39"/>
      <c r="C198" s="14"/>
      <c r="D198" s="14"/>
      <c r="E198" s="14"/>
      <c r="F198" s="14"/>
      <c r="G198" s="14"/>
      <c r="H198" s="14"/>
      <c r="I198" s="14"/>
      <c r="J198" s="14"/>
      <c r="K198" s="14"/>
      <c r="L198" s="14"/>
      <c r="M198" s="14"/>
      <c r="N198" s="14"/>
      <c r="O198" s="14"/>
      <c r="P198" s="14"/>
      <c r="Q198" s="14"/>
      <c r="R198" s="14"/>
      <c r="S198" s="14"/>
      <c r="T198" s="14"/>
      <c r="U198" s="14"/>
      <c r="V198" s="14"/>
    </row>
    <row r="199" spans="1:22" x14ac:dyDescent="0.2">
      <c r="A199" s="9"/>
      <c r="B199" s="24"/>
      <c r="C199" s="9"/>
      <c r="D199" s="9"/>
      <c r="E199" s="9"/>
      <c r="F199" s="9"/>
      <c r="G199" s="9"/>
      <c r="H199" s="9"/>
      <c r="I199" s="9"/>
      <c r="J199" s="9"/>
      <c r="K199" s="9"/>
      <c r="L199" s="9"/>
      <c r="M199" s="9"/>
      <c r="N199" s="9"/>
      <c r="O199" s="9"/>
      <c r="P199" s="9"/>
      <c r="Q199" s="9"/>
      <c r="R199" s="9"/>
      <c r="S199" s="9"/>
      <c r="T199" s="9"/>
      <c r="U199" s="9"/>
      <c r="V199" s="9"/>
    </row>
    <row r="200" spans="1:22" x14ac:dyDescent="0.2">
      <c r="A200" s="9"/>
      <c r="B200" s="24"/>
      <c r="C200" s="9"/>
      <c r="D200" s="9"/>
      <c r="E200" s="9"/>
      <c r="F200" s="9"/>
      <c r="G200" s="9"/>
      <c r="H200" s="9"/>
      <c r="I200" s="9"/>
      <c r="J200" s="9"/>
      <c r="K200" s="9"/>
      <c r="L200" s="9"/>
      <c r="M200" s="9"/>
      <c r="N200" s="9"/>
      <c r="O200" s="9"/>
      <c r="P200" s="9"/>
      <c r="Q200" s="9"/>
      <c r="R200" s="9"/>
      <c r="S200" s="9"/>
      <c r="T200" s="9"/>
      <c r="U200" s="9"/>
      <c r="V200" s="9"/>
    </row>
    <row r="201" spans="1:22" x14ac:dyDescent="0.2">
      <c r="A201" s="9"/>
      <c r="B201" s="24"/>
      <c r="C201" s="9"/>
      <c r="D201" s="9"/>
      <c r="E201" s="9"/>
      <c r="F201" s="9"/>
      <c r="G201" s="9"/>
      <c r="H201" s="9"/>
      <c r="I201" s="9"/>
      <c r="J201" s="9"/>
      <c r="K201" s="9"/>
      <c r="L201" s="9"/>
      <c r="M201" s="9"/>
      <c r="N201" s="9"/>
      <c r="O201" s="9"/>
      <c r="P201" s="9"/>
      <c r="Q201" s="9"/>
      <c r="R201" s="9"/>
      <c r="S201" s="9"/>
      <c r="T201" s="9"/>
      <c r="U201" s="9"/>
      <c r="V201" s="9"/>
    </row>
    <row r="202" spans="1:22" x14ac:dyDescent="0.2">
      <c r="A202" s="9"/>
      <c r="B202" s="24"/>
      <c r="C202" s="9"/>
      <c r="D202" s="9"/>
      <c r="E202" s="9"/>
      <c r="F202" s="9"/>
      <c r="G202" s="9"/>
      <c r="H202" s="9"/>
      <c r="I202" s="9"/>
      <c r="J202" s="9"/>
      <c r="K202" s="9"/>
      <c r="L202" s="9"/>
      <c r="M202" s="9"/>
      <c r="N202" s="9"/>
      <c r="O202" s="9"/>
      <c r="P202" s="9"/>
      <c r="Q202" s="9"/>
      <c r="R202" s="9"/>
      <c r="S202" s="9"/>
      <c r="T202" s="9"/>
      <c r="U202" s="9"/>
      <c r="V202" s="9"/>
    </row>
    <row r="203" spans="1:22" x14ac:dyDescent="0.2">
      <c r="A203" s="9"/>
      <c r="B203" s="24"/>
      <c r="C203" s="9"/>
      <c r="D203" s="9"/>
      <c r="E203" s="9"/>
      <c r="F203" s="9"/>
      <c r="G203" s="9"/>
      <c r="H203" s="9"/>
      <c r="I203" s="9"/>
      <c r="J203" s="9"/>
      <c r="K203" s="9"/>
      <c r="L203" s="9"/>
      <c r="M203" s="9"/>
      <c r="N203" s="9"/>
      <c r="O203" s="9"/>
      <c r="P203" s="9"/>
      <c r="Q203" s="9"/>
      <c r="R203" s="9"/>
      <c r="S203" s="9"/>
      <c r="T203" s="9"/>
      <c r="U203" s="9"/>
      <c r="V203" s="9"/>
    </row>
    <row r="204" spans="1:22" x14ac:dyDescent="0.2">
      <c r="A204" s="9"/>
      <c r="B204" s="24"/>
      <c r="C204" s="9"/>
      <c r="D204" s="9"/>
      <c r="E204" s="9"/>
      <c r="F204" s="9"/>
      <c r="G204" s="9"/>
      <c r="H204" s="9"/>
      <c r="I204" s="9"/>
      <c r="J204" s="9"/>
      <c r="K204" s="9"/>
      <c r="L204" s="9"/>
      <c r="M204" s="9"/>
      <c r="N204" s="9"/>
      <c r="O204" s="9"/>
      <c r="P204" s="9"/>
      <c r="Q204" s="9"/>
      <c r="R204" s="9"/>
      <c r="S204" s="9"/>
      <c r="T204" s="9"/>
      <c r="U204" s="9"/>
      <c r="V204" s="9"/>
    </row>
    <row r="205" spans="1:22" x14ac:dyDescent="0.2">
      <c r="A205" s="9"/>
      <c r="B205" s="24"/>
      <c r="C205" s="9"/>
      <c r="D205" s="9"/>
      <c r="E205" s="9"/>
      <c r="F205" s="9"/>
      <c r="G205" s="9"/>
      <c r="H205" s="9"/>
      <c r="I205" s="9"/>
      <c r="J205" s="9"/>
      <c r="K205" s="9"/>
      <c r="L205" s="9"/>
      <c r="M205" s="9"/>
      <c r="N205" s="9"/>
      <c r="O205" s="9"/>
      <c r="P205" s="9"/>
      <c r="Q205" s="9"/>
      <c r="R205" s="9"/>
      <c r="S205" s="9"/>
      <c r="T205" s="9"/>
      <c r="U205" s="9"/>
      <c r="V205" s="9"/>
    </row>
    <row r="206" spans="1:22" x14ac:dyDescent="0.2">
      <c r="A206" s="9"/>
      <c r="B206" s="24"/>
      <c r="C206" s="9"/>
      <c r="D206" s="9"/>
      <c r="E206" s="9"/>
      <c r="F206" s="9"/>
      <c r="G206" s="9"/>
      <c r="H206" s="9"/>
      <c r="I206" s="9"/>
      <c r="J206" s="9"/>
      <c r="K206" s="9"/>
      <c r="L206" s="9"/>
      <c r="M206" s="9"/>
      <c r="N206" s="9"/>
      <c r="O206" s="9"/>
      <c r="P206" s="9"/>
      <c r="Q206" s="9"/>
      <c r="R206" s="9"/>
      <c r="S206" s="9"/>
      <c r="T206" s="9"/>
      <c r="U206" s="9"/>
      <c r="V206" s="9"/>
    </row>
    <row r="207" spans="1:22" x14ac:dyDescent="0.2">
      <c r="A207" s="9"/>
      <c r="B207" s="24"/>
      <c r="C207" s="9"/>
      <c r="D207" s="9"/>
      <c r="E207" s="9"/>
      <c r="F207" s="9"/>
      <c r="G207" s="9"/>
      <c r="H207" s="9"/>
      <c r="I207" s="9"/>
      <c r="J207" s="9"/>
      <c r="K207" s="9"/>
      <c r="L207" s="9"/>
      <c r="M207" s="9"/>
      <c r="N207" s="9"/>
      <c r="O207" s="9"/>
      <c r="P207" s="9"/>
      <c r="Q207" s="9"/>
      <c r="R207" s="9"/>
      <c r="S207" s="9"/>
      <c r="T207" s="9"/>
      <c r="U207" s="9"/>
      <c r="V207" s="9"/>
    </row>
    <row r="208" spans="1:22" x14ac:dyDescent="0.2">
      <c r="A208" s="9"/>
      <c r="B208" s="24"/>
      <c r="C208" s="9"/>
      <c r="D208" s="9"/>
      <c r="E208" s="9"/>
      <c r="F208" s="9"/>
      <c r="G208" s="9"/>
      <c r="H208" s="9"/>
      <c r="I208" s="9"/>
      <c r="J208" s="9"/>
      <c r="K208" s="9"/>
      <c r="L208" s="9"/>
      <c r="M208" s="9"/>
      <c r="N208" s="9"/>
      <c r="O208" s="9"/>
      <c r="P208" s="9"/>
      <c r="Q208" s="9"/>
      <c r="R208" s="9"/>
      <c r="S208" s="9"/>
      <c r="T208" s="9"/>
      <c r="U208" s="9"/>
      <c r="V208" s="9"/>
    </row>
    <row r="209" spans="1:22" x14ac:dyDescent="0.2">
      <c r="A209" s="9"/>
      <c r="B209" s="24"/>
      <c r="C209" s="9"/>
      <c r="D209" s="9"/>
      <c r="E209" s="9"/>
      <c r="F209" s="9"/>
      <c r="G209" s="9"/>
      <c r="H209" s="9"/>
      <c r="I209" s="9"/>
      <c r="J209" s="9"/>
      <c r="K209" s="9"/>
      <c r="L209" s="9"/>
      <c r="M209" s="9"/>
      <c r="N209" s="9"/>
      <c r="O209" s="9"/>
      <c r="P209" s="9"/>
      <c r="Q209" s="9"/>
      <c r="R209" s="9"/>
      <c r="S209" s="9"/>
      <c r="T209" s="9"/>
      <c r="U209" s="9"/>
      <c r="V209" s="9"/>
    </row>
    <row r="210" spans="1:22" x14ac:dyDescent="0.2">
      <c r="A210" s="9"/>
      <c r="B210" s="24"/>
      <c r="C210" s="9"/>
      <c r="D210" s="9"/>
      <c r="E210" s="9"/>
      <c r="F210" s="9"/>
      <c r="G210" s="9"/>
      <c r="H210" s="9"/>
      <c r="I210" s="9"/>
      <c r="J210" s="9"/>
      <c r="K210" s="9"/>
      <c r="L210" s="9"/>
      <c r="M210" s="9"/>
      <c r="N210" s="9"/>
      <c r="O210" s="9"/>
      <c r="P210" s="9"/>
      <c r="Q210" s="9"/>
      <c r="R210" s="9"/>
      <c r="S210" s="9"/>
      <c r="T210" s="9"/>
      <c r="U210" s="9"/>
      <c r="V210" s="9"/>
    </row>
    <row r="211" spans="1:22" x14ac:dyDescent="0.2">
      <c r="A211" s="9"/>
      <c r="B211" s="24"/>
      <c r="C211" s="9"/>
      <c r="D211" s="9"/>
      <c r="E211" s="9"/>
      <c r="F211" s="9"/>
      <c r="G211" s="9"/>
      <c r="H211" s="9"/>
      <c r="I211" s="9"/>
      <c r="J211" s="9"/>
      <c r="K211" s="9"/>
      <c r="L211" s="9"/>
      <c r="M211" s="9"/>
      <c r="N211" s="9"/>
      <c r="O211" s="9"/>
      <c r="P211" s="9"/>
      <c r="Q211" s="9"/>
      <c r="R211" s="9"/>
      <c r="S211" s="9"/>
      <c r="T211" s="9"/>
      <c r="U211" s="9"/>
      <c r="V211" s="9"/>
    </row>
    <row r="212" spans="1:22" x14ac:dyDescent="0.2">
      <c r="A212" s="9"/>
      <c r="B212" s="24"/>
      <c r="C212" s="9"/>
      <c r="D212" s="9"/>
      <c r="E212" s="9"/>
      <c r="F212" s="9"/>
      <c r="G212" s="9"/>
      <c r="H212" s="9"/>
      <c r="I212" s="9"/>
      <c r="J212" s="9"/>
      <c r="K212" s="9"/>
      <c r="L212" s="9"/>
      <c r="M212" s="9"/>
      <c r="N212" s="9"/>
      <c r="O212" s="9"/>
      <c r="P212" s="9"/>
      <c r="Q212" s="9"/>
      <c r="R212" s="9"/>
      <c r="S212" s="9"/>
      <c r="T212" s="9"/>
      <c r="U212" s="9"/>
      <c r="V212" s="9"/>
    </row>
    <row r="213" spans="1:22" x14ac:dyDescent="0.2">
      <c r="A213" s="9"/>
      <c r="B213" s="24"/>
      <c r="C213" s="9"/>
      <c r="D213" s="9"/>
      <c r="E213" s="9"/>
      <c r="F213" s="9"/>
      <c r="G213" s="9"/>
      <c r="H213" s="9"/>
      <c r="I213" s="9"/>
      <c r="J213" s="9"/>
      <c r="K213" s="9"/>
      <c r="L213" s="9"/>
      <c r="M213" s="9"/>
      <c r="N213" s="9"/>
      <c r="O213" s="9"/>
      <c r="P213" s="9"/>
      <c r="Q213" s="9"/>
      <c r="R213" s="9"/>
      <c r="S213" s="9"/>
      <c r="T213" s="9"/>
      <c r="U213" s="9"/>
      <c r="V213" s="9"/>
    </row>
    <row r="214" spans="1:22" x14ac:dyDescent="0.2">
      <c r="A214" s="9"/>
      <c r="B214" s="24"/>
      <c r="C214" s="9"/>
      <c r="D214" s="9"/>
      <c r="E214" s="9"/>
      <c r="F214" s="9"/>
      <c r="G214" s="9"/>
      <c r="H214" s="9"/>
      <c r="I214" s="9"/>
      <c r="J214" s="9"/>
      <c r="K214" s="9"/>
      <c r="L214" s="9"/>
      <c r="M214" s="9"/>
      <c r="N214" s="9"/>
      <c r="O214" s="9"/>
      <c r="P214" s="9"/>
      <c r="Q214" s="9"/>
      <c r="R214" s="9"/>
      <c r="S214" s="9"/>
      <c r="T214" s="9"/>
      <c r="U214" s="9"/>
      <c r="V214" s="9"/>
    </row>
    <row r="215" spans="1:22" x14ac:dyDescent="0.2">
      <c r="A215" s="9"/>
      <c r="B215" s="24"/>
      <c r="C215" s="9"/>
      <c r="D215" s="9"/>
      <c r="E215" s="9"/>
      <c r="F215" s="9"/>
      <c r="G215" s="9"/>
      <c r="H215" s="9"/>
      <c r="I215" s="9"/>
      <c r="J215" s="9"/>
      <c r="K215" s="9"/>
      <c r="L215" s="9"/>
      <c r="M215" s="9"/>
      <c r="N215" s="9"/>
      <c r="O215" s="9"/>
      <c r="P215" s="9"/>
      <c r="Q215" s="9"/>
      <c r="R215" s="9"/>
      <c r="S215" s="9"/>
      <c r="T215" s="9"/>
      <c r="U215" s="9"/>
      <c r="V215" s="9"/>
    </row>
  </sheetData>
  <mergeCells count="2">
    <mergeCell ref="A1:Z1"/>
    <mergeCell ref="A2:Z2"/>
  </mergeCells>
  <pageMargins left="0.7" right="0.7" top="0.75" bottom="0.75" header="0.3" footer="0.3"/>
  <pageSetup paperSize="9" orientation="portrait" r:id="rId1"/>
  <headerFooter>
    <oddHeader>&amp;L&amp;"Calibri"&amp;12&amp;K0000FF Uso Interno&amp;1#_x000D_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5"/>
  <sheetViews>
    <sheetView showGridLines="0" zoomScaleNormal="100" workbookViewId="0">
      <selection activeCell="M7" sqref="M7"/>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10.6640625" customWidth="1"/>
    <col min="7" max="7" width="2.33203125" customWidth="1"/>
    <col min="8" max="8" width="8.33203125" customWidth="1"/>
    <col min="9" max="9" width="6.5" customWidth="1"/>
    <col min="10" max="10" width="5" customWidth="1"/>
    <col min="11" max="11" width="6.5" customWidth="1"/>
    <col min="12" max="12" width="9.1640625" customWidth="1"/>
    <col min="13" max="13" width="11" customWidth="1"/>
    <col min="14" max="14" width="2.83203125" customWidth="1"/>
    <col min="15" max="17" width="6.5" customWidth="1"/>
    <col min="18" max="18" width="2.1640625" customWidth="1"/>
    <col min="19" max="19" width="1.1640625" style="43" customWidth="1"/>
    <col min="20" max="20" width="2.1640625" customWidth="1"/>
    <col min="21" max="21" width="47.1640625" customWidth="1"/>
    <col min="22" max="22" width="2.33203125" customWidth="1"/>
    <col min="23" max="23" width="12" customWidth="1"/>
    <col min="24" max="24" width="2.83203125" customWidth="1"/>
    <col min="25" max="26" width="9.33203125" customWidth="1"/>
    <col min="27" max="27" width="18.1640625" customWidth="1"/>
    <col min="28" max="28" width="1.1640625" style="17" customWidth="1"/>
    <col min="29" max="29" width="4.5" customWidth="1"/>
    <col min="30" max="30" width="2.33203125" style="17" customWidth="1"/>
    <col min="31" max="31" width="41.5" customWidth="1"/>
    <col min="32" max="32" width="8.1640625" customWidth="1"/>
    <col min="33" max="33" width="7.6640625" customWidth="1"/>
    <col min="34" max="34" width="9.33203125" customWidth="1"/>
    <col min="35" max="35" width="14.5" customWidth="1"/>
    <col min="36" max="36" width="9.33203125" customWidth="1"/>
    <col min="37" max="37" width="13.83203125" customWidth="1"/>
    <col min="38" max="38" width="9.33203125" style="17" customWidth="1"/>
    <col min="39" max="43" width="9.33203125" customWidth="1"/>
    <col min="44" max="44" width="9.5" customWidth="1"/>
  </cols>
  <sheetData>
    <row r="1" spans="1:40" s="108" customFormat="1" ht="72.75" customHeight="1" x14ac:dyDescent="0.2">
      <c r="A1" s="107"/>
      <c r="B1" s="124">
        <v>2024</v>
      </c>
      <c r="C1" s="124"/>
      <c r="D1" s="124"/>
      <c r="E1" s="124"/>
      <c r="F1" s="124"/>
      <c r="G1" s="124"/>
      <c r="H1" s="124"/>
      <c r="I1" s="124"/>
      <c r="J1" s="124"/>
      <c r="K1" s="124"/>
      <c r="L1" s="124"/>
      <c r="M1" s="124"/>
      <c r="N1" s="124"/>
      <c r="O1" s="124"/>
      <c r="P1" s="124"/>
      <c r="Q1" s="124"/>
      <c r="R1" s="124"/>
      <c r="T1" s="125" t="s">
        <v>0</v>
      </c>
      <c r="U1" s="126"/>
      <c r="V1" s="126"/>
      <c r="W1" s="126"/>
      <c r="X1" s="126"/>
      <c r="Y1" s="126"/>
      <c r="Z1" s="126"/>
      <c r="AA1" s="126"/>
      <c r="AB1" s="126"/>
      <c r="AC1" s="126"/>
      <c r="AD1" s="126"/>
      <c r="AE1" s="126"/>
      <c r="AF1" s="126"/>
      <c r="AG1" s="126"/>
      <c r="AH1" s="126"/>
      <c r="AI1" s="126"/>
      <c r="AJ1" s="126"/>
      <c r="AK1" s="126"/>
      <c r="AL1" s="126"/>
      <c r="AM1" s="126"/>
      <c r="AN1" s="126"/>
    </row>
    <row r="2" spans="1:40" ht="15" customHeight="1" x14ac:dyDescent="0.2">
      <c r="A2" s="46"/>
      <c r="B2" s="127" t="s">
        <v>1</v>
      </c>
      <c r="C2" s="127"/>
      <c r="D2" s="127"/>
      <c r="E2" s="127"/>
      <c r="F2" s="127"/>
      <c r="G2" s="127"/>
      <c r="H2" s="127"/>
      <c r="I2" s="127"/>
      <c r="J2" s="127"/>
    </row>
    <row r="3" spans="1:40" ht="15" customHeight="1" x14ac:dyDescent="0.25">
      <c r="C3" s="5"/>
      <c r="D3" s="5"/>
      <c r="E3" s="5"/>
      <c r="F3" s="5"/>
      <c r="G3" s="5"/>
      <c r="H3" s="5"/>
      <c r="I3" s="5"/>
      <c r="J3" s="5"/>
      <c r="K3" s="5"/>
      <c r="L3" s="5"/>
      <c r="M3" s="5"/>
      <c r="N3" s="5"/>
      <c r="O3" s="5"/>
      <c r="P3" s="5"/>
      <c r="Q3" s="5"/>
      <c r="T3" s="20"/>
      <c r="U3" s="65" t="s">
        <v>2</v>
      </c>
      <c r="V3" s="5"/>
      <c r="W3" s="5"/>
      <c r="Y3" s="106" t="s">
        <v>159</v>
      </c>
      <c r="AE3" s="105" t="s">
        <v>160</v>
      </c>
    </row>
    <row r="4" spans="1:40" ht="15.75" x14ac:dyDescent="0.25">
      <c r="A4" s="46"/>
      <c r="C4" s="128" t="s">
        <v>3</v>
      </c>
      <c r="D4" s="128"/>
      <c r="E4" s="128"/>
      <c r="F4" s="128"/>
      <c r="G4" s="128"/>
      <c r="H4" s="128"/>
      <c r="I4" s="128"/>
      <c r="J4" s="71"/>
      <c r="K4" s="128" t="s">
        <v>4</v>
      </c>
      <c r="L4" s="128"/>
      <c r="M4" s="128"/>
      <c r="N4" s="128"/>
      <c r="O4" s="128"/>
      <c r="P4" s="128"/>
      <c r="Q4" s="128"/>
      <c r="T4" s="20"/>
      <c r="U4" s="51" t="s">
        <v>5</v>
      </c>
      <c r="V4" s="5"/>
      <c r="W4" s="5"/>
      <c r="Z4" s="4"/>
    </row>
    <row r="5" spans="1:40" ht="15"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2"/>
      <c r="V5" s="5"/>
      <c r="W5" s="5"/>
    </row>
    <row r="6" spans="1:40" ht="15" customHeight="1" x14ac:dyDescent="0.2">
      <c r="C6" s="7" t="str">
        <f>IF(DAY(JulDom1)=1,"",IF(AND(YEAR(JulDom1+1)=AnoDoCalendário,MONTH(JulDom1+1)=7),JulDom1+1,""))</f>
        <v/>
      </c>
      <c r="D6" s="7">
        <f>IF(DAY(JulDom1)=1,"",IF(AND(YEAR(JulDom1+2)=AnoDoCalendário,MONTH(JulDom1+2)=7),JulDom1+2,""))</f>
        <v>45474</v>
      </c>
      <c r="E6" s="7">
        <f>IF(DAY(JulDom1)=1,"",IF(AND(YEAR(JulDom1+3)=AnoDoCalendário,MONTH(JulDom1+3)=7),JulDom1+3,""))</f>
        <v>45475</v>
      </c>
      <c r="F6" s="7">
        <f>IF(DAY(JulDom1)=1,"",IF(AND(YEAR(JulDom1+4)=AnoDoCalendário,MONTH(JulDom1+4)=7),JulDom1+4,""))</f>
        <v>45476</v>
      </c>
      <c r="G6" s="7">
        <f>IF(DAY(JulDom1)=1,"",IF(AND(YEAR(JulDom1+5)=AnoDoCalendário,MONTH(JulDom1+5)=7),JulDom1+5,""))</f>
        <v>45477</v>
      </c>
      <c r="H6" s="7">
        <f>IF(DAY(JulDom1)=1,"",IF(AND(YEAR(JulDom1+6)=AnoDoCalendário,MONTH(JulDom1+6)=7),JulDom1+6,""))</f>
        <v>45478</v>
      </c>
      <c r="I6" s="7">
        <f>IF(DAY(JulDom1)=1,IF(AND(YEAR(JulDom1)=AnoDoCalendário,MONTH(JulDom1)=7),JulDom1,""),IF(AND(YEAR(JulDom1+7)=AnoDoCalendário,MONTH(JulDom1+7)=7),JulDom1+7,""))</f>
        <v>45479</v>
      </c>
      <c r="J6" s="5"/>
      <c r="K6" s="7" t="str">
        <f>IF(DAY(AgoDom1)=1,"",IF(AND(YEAR(AgoDom1+1)=AnoDoCalendário,MONTH(AgoDom1+1)=8),AgoDom1+1,""))</f>
        <v/>
      </c>
      <c r="L6" s="7" t="str">
        <f>IF(DAY(AgoDom1)=1,"",IF(AND(YEAR(AgoDom1+2)=AnoDoCalendário,MONTH(AgoDom1+2)=8),AgoDom1+2,""))</f>
        <v/>
      </c>
      <c r="M6" s="7" t="str">
        <f>IF(DAY(AgoDom1)=1,"",IF(AND(YEAR(AgoDom1+3)=AnoDoCalendário,MONTH(AgoDom1+3)=8),AgoDom1+3,""))</f>
        <v/>
      </c>
      <c r="N6" s="7" t="str">
        <f>IF(DAY(AgoDom1)=1,"",IF(AND(YEAR(AgoDom1+4)=AnoDoCalendário,MONTH(AgoDom1+4)=8),AgoDom1+4,""))</f>
        <v/>
      </c>
      <c r="O6" s="44">
        <f>IF(DAY(AgoDom1)=1,"",IF(AND(YEAR(AgoDom1+5)=AnoDoCalendário,MONTH(AgoDom1+5)=8),AgoDom1+5,""))</f>
        <v>45505</v>
      </c>
      <c r="P6" s="44">
        <f>IF(DAY(AgoDom1)=1,"",IF(AND(YEAR(AgoDom1+6)=AnoDoCalendário,MONTH(AgoDom1+6)=8),AgoDom1+6,""))</f>
        <v>45506</v>
      </c>
      <c r="Q6" s="44">
        <f>IF(DAY(AgoDom1)=1,IF(AND(YEAR(AgoDom1)=AnoDoCalendário,MONTH(AgoDom1)=8),AgoDom1,""),IF(AND(YEAR(AgoDom1+7)=AnoDoCalendário,MONTH(AgoDom1+7)=8),AgoDom1+7,""))</f>
        <v>45507</v>
      </c>
      <c r="U6" s="11" t="s">
        <v>13</v>
      </c>
      <c r="W6" s="13" t="s">
        <v>14</v>
      </c>
      <c r="X6" s="13"/>
      <c r="Y6" s="13"/>
      <c r="Z6" s="13"/>
      <c r="AA6" s="13"/>
      <c r="AB6" s="66"/>
      <c r="AD6" s="40"/>
      <c r="AE6" s="55" t="s">
        <v>13</v>
      </c>
      <c r="AF6" s="38"/>
      <c r="AG6" s="38" t="s">
        <v>14</v>
      </c>
      <c r="AH6" s="38"/>
      <c r="AI6" s="38"/>
      <c r="AJ6" s="38"/>
      <c r="AK6" s="38"/>
      <c r="AL6" s="40"/>
    </row>
    <row r="7" spans="1:40" ht="15" customHeight="1" x14ac:dyDescent="0.2">
      <c r="C7" s="44">
        <f>IF(DAY(JulDom1)=1,IF(AND(YEAR(JulDom1+1)=AnoDoCalendário,MONTH(JulDom1+1)=7),JulDom1+1,""),IF(AND(YEAR(JulDom1+8)=AnoDoCalendário,MONTH(JulDom1+8)=7),JulDom1+8,""))</f>
        <v>45480</v>
      </c>
      <c r="D7" s="7">
        <f>IF(DAY(JulDom1)=1,IF(AND(YEAR(JulDom1+2)=AnoDoCalendário,MONTH(JulDom1+2)=7),JulDom1+2,""),IF(AND(YEAR(JulDom1+9)=AnoDoCalendário,MONTH(JulDom1+9)=7),JulDom1+9,""))</f>
        <v>45481</v>
      </c>
      <c r="E7" s="7">
        <f>IF(DAY(JulDom1)=1,IF(AND(YEAR(JulDom1+3)=AnoDoCalendário,MONTH(JulDom1+3)=7),JulDom1+3,""),IF(AND(YEAR(JulDom1+10)=AnoDoCalendário,MONTH(JulDom1+10)=7),JulDom1+10,""))</f>
        <v>45482</v>
      </c>
      <c r="F7" s="44">
        <f>IF(DAY(JulDom1)=1,IF(AND(YEAR(JulDom1+4)=AnoDoCalendário,MONTH(JulDom1+4)=7),JulDom1+4,""),IF(AND(YEAR(JulDom1+11)=AnoDoCalendário,MONTH(JulDom1+11)=7),JulDom1+11,""))</f>
        <v>45483</v>
      </c>
      <c r="G7" s="7">
        <f>IF(DAY(JulDom1)=1,IF(AND(YEAR(JulDom1+5)=AnoDoCalendário,MONTH(JulDom1+5)=7),JulDom1+5,""),IF(AND(YEAR(JulDom1+12)=AnoDoCalendário,MONTH(JulDom1+12)=7),JulDom1+12,""))</f>
        <v>45484</v>
      </c>
      <c r="H7" s="44">
        <f>IF(DAY(JulDom1)=1,IF(AND(YEAR(JulDom1+6)=AnoDoCalendário,MONTH(JulDom1+6)=7),JulDom1+6,""),IF(AND(YEAR(JulDom1+13)=AnoDoCalendário,MONTH(JulDom1+13)=7),JulDom1+13,""))</f>
        <v>45485</v>
      </c>
      <c r="I7" s="44">
        <f>IF(DAY(JulDom1)=1,IF(AND(YEAR(JulDom1+7)=AnoDoCalendário,MONTH(JulDom1+7)=7),JulDom1+7,""),IF(AND(YEAR(JulDom1+14)=AnoDoCalendário,MONTH(JulDom1+14)=7),JulDom1+14,""))</f>
        <v>45486</v>
      </c>
      <c r="J7" s="5"/>
      <c r="K7" s="7">
        <f>IF(DAY(AgoDom1)=1,IF(AND(YEAR(AgoDom1+1)=AnoDoCalendário,MONTH(AgoDom1+1)=8),AgoDom1+1,""),IF(AND(YEAR(AgoDom1+8)=AnoDoCalendário,MONTH(AgoDom1+8)=8),AgoDom1+8,""))</f>
        <v>45508</v>
      </c>
      <c r="L7" s="7">
        <f>IF(DAY(AgoDom1)=1,IF(AND(YEAR(AgoDom1+2)=AnoDoCalendário,MONTH(AgoDom1+2)=8),AgoDom1+2,""),IF(AND(YEAR(AgoDom1+9)=AnoDoCalendário,MONTH(AgoDom1+9)=8),AgoDom1+9,""))</f>
        <v>45509</v>
      </c>
      <c r="M7" s="7">
        <f>IF(DAY(AgoDom1)=1,IF(AND(YEAR(AgoDom1+3)=AnoDoCalendário,MONTH(AgoDom1+3)=8),AgoDom1+3,""),IF(AND(YEAR(AgoDom1+10)=AnoDoCalendário,MONTH(AgoDom1+10)=8),AgoDom1+10,""))</f>
        <v>45510</v>
      </c>
      <c r="N7" s="7">
        <f>IF(DAY(AgoDom1)=1,IF(AND(YEAR(AgoDom1+4)=AnoDoCalendário,MONTH(AgoDom1+4)=8),AgoDom1+4,""),IF(AND(YEAR(AgoDom1+11)=AnoDoCalendário,MONTH(AgoDom1+11)=8),AgoDom1+11,""))</f>
        <v>45511</v>
      </c>
      <c r="O7" s="7">
        <f>IF(DAY(AgoDom1)=1,IF(AND(YEAR(AgoDom1+5)=AnoDoCalendário,MONTH(AgoDom1+5)=8),AgoDom1+5,""),IF(AND(YEAR(AgoDom1+12)=AnoDoCalendário,MONTH(AgoDom1+12)=8),AgoDom1+12,""))</f>
        <v>45512</v>
      </c>
      <c r="P7" s="44">
        <f>IF(DAY(AgoDom1)=1,IF(AND(YEAR(AgoDom1+6)=AnoDoCalendário,MONTH(AgoDom1+6)=8),AgoDom1+6,""),IF(AND(YEAR(AgoDom1+13)=AnoDoCalendário,MONTH(AgoDom1+13)=8),AgoDom1+13,""))</f>
        <v>45513</v>
      </c>
      <c r="Q7" s="44">
        <f>IF(DAY(AgoDom1)=1,IF(AND(YEAR(AgoDom1+7)=AnoDoCalendário,MONTH(AgoDom1+7)=8),AgoDom1+7,""),IF(AND(YEAR(AgoDom1+14)=AnoDoCalendário,MONTH(AgoDom1+14)=8),AgoDom1+14,""))</f>
        <v>45514</v>
      </c>
      <c r="U7" s="129" t="s">
        <v>15</v>
      </c>
      <c r="W7" s="132" t="s">
        <v>16</v>
      </c>
      <c r="X7" s="133"/>
      <c r="Y7" s="133"/>
      <c r="Z7" s="133"/>
      <c r="AA7" s="133"/>
      <c r="AB7" s="67"/>
      <c r="AD7" s="40"/>
      <c r="AE7" s="138"/>
      <c r="AF7" s="38"/>
      <c r="AG7" s="115"/>
      <c r="AH7" s="116"/>
      <c r="AI7" s="116"/>
      <c r="AJ7" s="116"/>
      <c r="AK7" s="117"/>
      <c r="AL7" s="40"/>
    </row>
    <row r="8" spans="1:40" ht="15" customHeight="1" x14ac:dyDescent="0.2">
      <c r="C8" s="7">
        <f>IF(DAY(JulDom1)=1,IF(AND(YEAR(JulDom1+8)=AnoDoCalendário,MONTH(JulDom1+8)=7),JulDom1+8,""),IF(AND(YEAR(JulDom1+15)=AnoDoCalendário,MONTH(JulDom1+15)=7),JulDom1+15,""))</f>
        <v>45487</v>
      </c>
      <c r="D8" s="44">
        <f>IF(DAY(JulDom1)=1,IF(AND(YEAR(JulDom1+9)=AnoDoCalendário,MONTH(JulDom1+9)=7),JulDom1+9,""),IF(AND(YEAR(JulDom1+16)=AnoDoCalendário,MONTH(JulDom1+16)=7),JulDom1+16,""))</f>
        <v>45488</v>
      </c>
      <c r="E8" s="44">
        <f>IF(DAY(JulDom1)=1,IF(AND(YEAR(JulDom1+10)=AnoDoCalendário,MONTH(JulDom1+10)=7),JulDom1+10,""),IF(AND(YEAR(JulDom1+17)=AnoDoCalendário,MONTH(JulDom1+17)=7),JulDom1+17,""))</f>
        <v>45489</v>
      </c>
      <c r="F8" s="7">
        <f>IF(DAY(JulDom1)=1,IF(AND(YEAR(JulDom1+11)=AnoDoCalendário,MONTH(JulDom1+11)=7),JulDom1+11,""),IF(AND(YEAR(JulDom1+18)=AnoDoCalendário,MONTH(JulDom1+18)=7),JulDom1+18,""))</f>
        <v>45490</v>
      </c>
      <c r="G8" s="44">
        <f>IF(DAY(JulDom1)=1,IF(AND(YEAR(JulDom1+12)=AnoDoCalendário,MONTH(JulDom1+12)=7),JulDom1+12,""),IF(AND(YEAR(JulDom1+19)=AnoDoCalendário,MONTH(JulDom1+19)=7),JulDom1+19,""))</f>
        <v>45491</v>
      </c>
      <c r="H8" s="7">
        <f>IF(DAY(JulDom1)=1,IF(AND(YEAR(JulDom1+13)=AnoDoCalendário,MONTH(JulDom1+13)=7),JulDom1+13,""),IF(AND(YEAR(JulDom1+20)=AnoDoCalendário,MONTH(JulDom1+20)=7),JulDom1+20,""))</f>
        <v>45492</v>
      </c>
      <c r="I8" s="44">
        <f>IF(DAY(JulDom1)=1,IF(AND(YEAR(JulDom1+14)=AnoDoCalendário,MONTH(JulDom1+14)=7),JulDom1+14,""),IF(AND(YEAR(JulDom1+21)=AnoDoCalendário,MONTH(JulDom1+21)=7),JulDom1+21,""))</f>
        <v>45493</v>
      </c>
      <c r="J8" s="5"/>
      <c r="K8" s="7">
        <f>IF(DAY(AgoDom1)=1,IF(AND(YEAR(AgoDom1+8)=AnoDoCalendário,MONTH(AgoDom1+8)=8),AgoDom1+8,""),IF(AND(YEAR(AgoDom1+15)=AnoDoCalendário,MONTH(AgoDom1+15)=8),AgoDom1+15,""))</f>
        <v>45515</v>
      </c>
      <c r="L8" s="44">
        <f>IF(DAY(AgoDom1)=1,IF(AND(YEAR(AgoDom1+9)=AnoDoCalendário,MONTH(AgoDom1+9)=8),AgoDom1+9,""),IF(AND(YEAR(AgoDom1+16)=AnoDoCalendário,MONTH(AgoDom1+16)=8),AgoDom1+16,""))</f>
        <v>45516</v>
      </c>
      <c r="M8" s="44">
        <f>IF(DAY(AgoDom1)=1,IF(AND(YEAR(AgoDom1+10)=AnoDoCalendário,MONTH(AgoDom1+10)=8),AgoDom1+10,""),IF(AND(YEAR(AgoDom1+17)=AnoDoCalendário,MONTH(AgoDom1+17)=8),AgoDom1+17,""))</f>
        <v>45517</v>
      </c>
      <c r="N8" s="44">
        <f>IF(DAY(AgoDom1)=1,IF(AND(YEAR(AgoDom1+11)=AnoDoCalendário,MONTH(AgoDom1+11)=8),AgoDom1+11,""),IF(AND(YEAR(AgoDom1+18)=AnoDoCalendário,MONTH(AgoDom1+18)=8),AgoDom1+18,""))</f>
        <v>45518</v>
      </c>
      <c r="O8" s="44">
        <f>IF(DAY(AgoDom1)=1,IF(AND(YEAR(AgoDom1+12)=AnoDoCalendário,MONTH(AgoDom1+12)=8),AgoDom1+12,""),IF(AND(YEAR(AgoDom1+19)=AnoDoCalendário,MONTH(AgoDom1+19)=8),AgoDom1+19,""))</f>
        <v>45519</v>
      </c>
      <c r="P8" s="44">
        <f>IF(DAY(AgoDom1)=1,IF(AND(YEAR(AgoDom1+13)=AnoDoCalendário,MONTH(AgoDom1+13)=8),AgoDom1+13,""),IF(AND(YEAR(AgoDom1+20)=AnoDoCalendário,MONTH(AgoDom1+20)=8),AgoDom1+20,""))</f>
        <v>45520</v>
      </c>
      <c r="Q8" s="44">
        <f>IF(DAY(AgoDom1)=1,IF(AND(YEAR(AgoDom1+14)=AnoDoCalendário,MONTH(AgoDom1+14)=8),AgoDom1+14,""),IF(AND(YEAR(AgoDom1+21)=AnoDoCalendário,MONTH(AgoDom1+21)=8),AgoDom1+21,""))</f>
        <v>45521</v>
      </c>
      <c r="U8" s="130"/>
      <c r="W8" s="134"/>
      <c r="X8" s="135"/>
      <c r="Y8" s="135"/>
      <c r="Z8" s="135"/>
      <c r="AA8" s="135"/>
      <c r="AB8" s="68"/>
      <c r="AD8" s="40"/>
      <c r="AE8" s="139"/>
      <c r="AF8" s="38"/>
      <c r="AG8" s="118"/>
      <c r="AH8" s="119"/>
      <c r="AI8" s="119"/>
      <c r="AJ8" s="119"/>
      <c r="AK8" s="120"/>
      <c r="AL8" s="40"/>
    </row>
    <row r="9" spans="1:40" ht="15" x14ac:dyDescent="0.2">
      <c r="A9" s="46"/>
      <c r="C9" s="44">
        <f>IF(DAY(JulDom1)=1,IF(AND(YEAR(JulDom1+15)=AnoDoCalendário,MONTH(JulDom1+15)=7),JulDom1+15,""),IF(AND(YEAR(JulDom1+22)=AnoDoCalendário,MONTH(JulDom1+22)=7),JulDom1+22,""))</f>
        <v>45494</v>
      </c>
      <c r="D9" s="7">
        <f>IF(DAY(JulDom1)=1,IF(AND(YEAR(JulDom1+16)=AnoDoCalendário,MONTH(JulDom1+16)=7),JulDom1+16,""),IF(AND(YEAR(JulDom1+23)=AnoDoCalendário,MONTH(JulDom1+23)=7),JulDom1+23,""))</f>
        <v>45495</v>
      </c>
      <c r="E9" s="7">
        <f>IF(DAY(JulDom1)=1,IF(AND(YEAR(JulDom1+17)=AnoDoCalendário,MONTH(JulDom1+17)=7),JulDom1+17,""),IF(AND(YEAR(JulDom1+24)=AnoDoCalendário,MONTH(JulDom1+24)=7),JulDom1+24,""))</f>
        <v>45496</v>
      </c>
      <c r="F9" s="44">
        <f>IF(DAY(JulDom1)=1,IF(AND(YEAR(JulDom1+18)=AnoDoCalendário,MONTH(JulDom1+18)=7),JulDom1+18,""),IF(AND(YEAR(JulDom1+25)=AnoDoCalendário,MONTH(JulDom1+25)=7),JulDom1+25,""))</f>
        <v>45497</v>
      </c>
      <c r="G9" s="44">
        <f>IF(DAY(JulDom1)=1,IF(AND(YEAR(JulDom1+19)=AnoDoCalendário,MONTH(JulDom1+19)=7),JulDom1+19,""),IF(AND(YEAR(JulDom1+26)=AnoDoCalendário,MONTH(JulDom1+26)=7),JulDom1+26,""))</f>
        <v>45498</v>
      </c>
      <c r="H9" s="7">
        <f>IF(DAY(JulDom1)=1,IF(AND(YEAR(JulDom1+20)=AnoDoCalendário,MONTH(JulDom1+20)=7),JulDom1+20,""),IF(AND(YEAR(JulDom1+27)=AnoDoCalendário,MONTH(JulDom1+27)=7),JulDom1+27,""))</f>
        <v>45499</v>
      </c>
      <c r="I9" s="7">
        <f>IF(DAY(JulDom1)=1,IF(AND(YEAR(JulDom1+21)=AnoDoCalendário,MONTH(JulDom1+21)=7),JulDom1+21,""),IF(AND(YEAR(JulDom1+28)=AnoDoCalendário,MONTH(JulDom1+28)=7),JulDom1+28,""))</f>
        <v>45500</v>
      </c>
      <c r="J9" s="5"/>
      <c r="K9" s="7">
        <f>IF(DAY(AgoDom1)=1,IF(AND(YEAR(AgoDom1+15)=AnoDoCalendário,MONTH(AgoDom1+15)=8),AgoDom1+15,""),IF(AND(YEAR(AgoDom1+22)=AnoDoCalendário,MONTH(AgoDom1+22)=8),AgoDom1+22,""))</f>
        <v>45522</v>
      </c>
      <c r="L9" s="7">
        <f>IF(DAY(AgoDom1)=1,IF(AND(YEAR(AgoDom1+16)=AnoDoCalendário,MONTH(AgoDom1+16)=8),AgoDom1+16,""),IF(AND(YEAR(AgoDom1+23)=AnoDoCalendário,MONTH(AgoDom1+23)=8),AgoDom1+23,""))</f>
        <v>45523</v>
      </c>
      <c r="M9" s="7">
        <f>IF(DAY(AgoDom1)=1,IF(AND(YEAR(AgoDom1+17)=AnoDoCalendário,MONTH(AgoDom1+17)=8),AgoDom1+17,""),IF(AND(YEAR(AgoDom1+24)=AnoDoCalendário,MONTH(AgoDom1+24)=8),AgoDom1+24,""))</f>
        <v>45524</v>
      </c>
      <c r="N9" s="7">
        <f>IF(DAY(AgoDom1)=1,IF(AND(YEAR(AgoDom1+18)=AnoDoCalendário,MONTH(AgoDom1+18)=8),AgoDom1+18,""),IF(AND(YEAR(AgoDom1+25)=AnoDoCalendário,MONTH(AgoDom1+25)=8),AgoDom1+25,""))</f>
        <v>45525</v>
      </c>
      <c r="O9" s="7">
        <f>IF(DAY(AgoDom1)=1,IF(AND(YEAR(AgoDom1+19)=AnoDoCalendário,MONTH(AgoDom1+19)=8),AgoDom1+19,""),IF(AND(YEAR(AgoDom1+26)=AnoDoCalendário,MONTH(AgoDom1+26)=8),AgoDom1+26,""))</f>
        <v>45526</v>
      </c>
      <c r="P9" s="44">
        <f>IF(DAY(AgoDom1)=1,IF(AND(YEAR(AgoDom1+20)=AnoDoCalendário,MONTH(AgoDom1+20)=8),AgoDom1+20,""),IF(AND(YEAR(AgoDom1+27)=AnoDoCalendário,MONTH(AgoDom1+27)=8),AgoDom1+27,""))</f>
        <v>45527</v>
      </c>
      <c r="Q9" s="44">
        <f>IF(DAY(AgoDom1)=1,IF(AND(YEAR(AgoDom1+21)=AnoDoCalendário,MONTH(AgoDom1+21)=8),AgoDom1+21,""),IF(AND(YEAR(AgoDom1+28)=AnoDoCalendário,MONTH(AgoDom1+28)=8),AgoDom1+28,""))</f>
        <v>45528</v>
      </c>
      <c r="U9" s="130"/>
      <c r="W9" s="134"/>
      <c r="X9" s="135"/>
      <c r="Y9" s="135"/>
      <c r="Z9" s="135"/>
      <c r="AA9" s="135"/>
      <c r="AB9" s="68"/>
      <c r="AD9" s="40"/>
      <c r="AE9" s="139"/>
      <c r="AF9" s="38"/>
      <c r="AG9" s="118"/>
      <c r="AH9" s="119"/>
      <c r="AI9" s="119"/>
      <c r="AJ9" s="119"/>
      <c r="AK9" s="120"/>
      <c r="AL9" s="40"/>
    </row>
    <row r="10" spans="1:40" ht="15" x14ac:dyDescent="0.2">
      <c r="A10" s="46"/>
      <c r="C10" s="7">
        <f>IF(DAY(JulDom1)=1,IF(AND(YEAR(JulDom1+22)=AnoDoCalendário,MONTH(JulDom1+22)=7),JulDom1+22,""),IF(AND(YEAR(JulDom1+29)=AnoDoCalendário,MONTH(JulDom1+29)=7),JulDom1+29,""))</f>
        <v>45501</v>
      </c>
      <c r="D10" s="7">
        <f>IF(DAY(JulDom1)=1,IF(AND(YEAR(JulDom1+23)=AnoDoCalendário,MONTH(JulDom1+23)=7),JulDom1+23,""),IF(AND(YEAR(JulDom1+30)=AnoDoCalendário,MONTH(JulDom1+30)=7),JulDom1+30,""))</f>
        <v>45502</v>
      </c>
      <c r="E10" s="7">
        <f>IF(DAY(JulDom1)=1,IF(AND(YEAR(JulDom1+24)=AnoDoCalendário,MONTH(JulDom1+24)=7),JulDom1+24,""),IF(AND(YEAR(JulDom1+31)=AnoDoCalendário,MONTH(JulDom1+31)=7),JulDom1+31,""))</f>
        <v>45503</v>
      </c>
      <c r="F10" s="44">
        <f>IF(DAY(JulDom1)=1,IF(AND(YEAR(JulDom1+25)=AnoDoCalendário,MONTH(JulDom1+25)=7),JulDom1+25,""),IF(AND(YEAR(JulDom1+32)=AnoDoCalendário,MONTH(JulDom1+32)=7),JulDom1+32,""))</f>
        <v>45504</v>
      </c>
      <c r="G10" s="44" t="str">
        <f>IF(DAY(JulDom1)=1,IF(AND(YEAR(JulDom1+26)=AnoDoCalendário,MONTH(JulDom1+26)=7),JulDom1+26,""),IF(AND(YEAR(JulDom1+33)=AnoDoCalendário,MONTH(JulDom1+33)=7),JulDom1+33,""))</f>
        <v/>
      </c>
      <c r="H10" s="7" t="str">
        <f>IF(DAY(JulDom1)=1,IF(AND(YEAR(JulDom1+27)=AnoDoCalendário,MONTH(JulDom1+27)=7),JulDom1+27,""),IF(AND(YEAR(JulDom1+34)=AnoDoCalendário,MONTH(JulDom1+34)=7),JulDom1+34,""))</f>
        <v/>
      </c>
      <c r="I10" s="7" t="str">
        <f>IF(DAY(JulDom1)=1,IF(AND(YEAR(JulDom1+28)=AnoDoCalendário,MONTH(JulDom1+28)=7),JulDom1+28,""),IF(AND(YEAR(JulDom1+35)=AnoDoCalendário,MONTH(JulDom1+35)=7),JulDom1+35,""))</f>
        <v/>
      </c>
      <c r="J10" s="5"/>
      <c r="K10" s="44">
        <f>IF(DAY(AgoDom1)=1,IF(AND(YEAR(AgoDom1+22)=AnoDoCalendário,MONTH(AgoDom1+22)=8),AgoDom1+22,""),IF(AND(YEAR(AgoDom1+29)=AnoDoCalendário,MONTH(AgoDom1+29)=8),AgoDom1+29,""))</f>
        <v>45529</v>
      </c>
      <c r="L10" s="7">
        <f>IF(DAY(AgoDom1)=1,IF(AND(YEAR(AgoDom1+23)=AnoDoCalendário,MONTH(AgoDom1+23)=8),AgoDom1+23,""),IF(AND(YEAR(AgoDom1+30)=AnoDoCalendário,MONTH(AgoDom1+30)=8),AgoDom1+30,""))</f>
        <v>45530</v>
      </c>
      <c r="M10" s="7">
        <f>IF(DAY(AgoDom1)=1,IF(AND(YEAR(AgoDom1+24)=AnoDoCalendário,MONTH(AgoDom1+24)=8),AgoDom1+24,""),IF(AND(YEAR(AgoDom1+31)=AnoDoCalendário,MONTH(AgoDom1+31)=8),AgoDom1+31,""))</f>
        <v>45531</v>
      </c>
      <c r="N10" s="44">
        <f>IF(DAY(AgoDom1)=1,IF(AND(YEAR(AgoDom1+25)=AnoDoCalendário,MONTH(AgoDom1+25)=8),AgoDom1+25,""),IF(AND(YEAR(AgoDom1+32)=AnoDoCalendário,MONTH(AgoDom1+32)=8),AgoDom1+32,""))</f>
        <v>45532</v>
      </c>
      <c r="O10" s="44">
        <f>IF(DAY(AgoDom1)=1,IF(AND(YEAR(AgoDom1+26)=AnoDoCalendário,MONTH(AgoDom1+26)=8),AgoDom1+26,""),IF(AND(YEAR(AgoDom1+33)=AnoDoCalendário,MONTH(AgoDom1+33)=8),AgoDom1+33,""))</f>
        <v>45533</v>
      </c>
      <c r="P10" s="7">
        <f>IF(DAY(AgoDom1)=1,IF(AND(YEAR(AgoDom1+27)=AnoDoCalendário,MONTH(AgoDom1+27)=8),AgoDom1+27,""),IF(AND(YEAR(AgoDom1+34)=AnoDoCalendário,MONTH(AgoDom1+34)=8),AgoDom1+34,""))</f>
        <v>45534</v>
      </c>
      <c r="Q10" s="7">
        <f>IF(DAY(AgoDom1)=1,IF(AND(YEAR(AgoDom1+28)=AnoDoCalendário,MONTH(AgoDom1+28)=8),AgoDom1+28,""),IF(AND(YEAR(AgoDom1+35)=AnoDoCalendário,MONTH(AgoDom1+35)=8),AgoDom1+35,""))</f>
        <v>45535</v>
      </c>
      <c r="U10" s="130"/>
      <c r="W10" s="134"/>
      <c r="X10" s="135"/>
      <c r="Y10" s="135"/>
      <c r="Z10" s="135"/>
      <c r="AA10" s="135"/>
      <c r="AB10" s="68"/>
      <c r="AD10" s="40"/>
      <c r="AE10" s="139"/>
      <c r="AF10" s="38"/>
      <c r="AG10" s="118"/>
      <c r="AH10" s="119"/>
      <c r="AI10" s="119"/>
      <c r="AJ10" s="119"/>
      <c r="AK10" s="120"/>
      <c r="AL10" s="40"/>
    </row>
    <row r="11" spans="1:40" ht="15" x14ac:dyDescent="0.2">
      <c r="A11" s="46"/>
      <c r="C11" s="7" t="str">
        <f>IF(DAY(JulDom1)=1,IF(AND(YEAR(JulDom1+29)=AnoDoCalendário,MONTH(JulDom1+29)=7),JulDom1+29,""),IF(AND(YEAR(JulDom1+36)=AnoDoCalendário,MONTH(JulDom1+36)=7),JulDom1+36,""))</f>
        <v/>
      </c>
      <c r="D11" s="44" t="str">
        <f>IF(DAY(JulDom1)=1,IF(AND(YEAR(JulDom1+30)=AnoDoCalendário,MONTH(JulDom1+30)=7),JulDom1+30,""),IF(AND(YEAR(JulDom1+37)=AnoDoCalendário,MONTH(JulDom1+37)=7),JulDom1+37,""))</f>
        <v/>
      </c>
      <c r="E11" s="7" t="str">
        <f>IF(DAY(JulDom1)=1,IF(AND(YEAR(JulDom1+31)=AnoDoCalendário,MONTH(JulDom1+31)=7),JulDom1+31,""),IF(AND(YEAR(JulDom1+38)=AnoDoCalendário,MONTH(JulDom1+38)=7),JulDom1+38,""))</f>
        <v/>
      </c>
      <c r="F11" s="7" t="str">
        <f>IF(DAY(JulDom1)=1,IF(AND(YEAR(JulDom1+32)=AnoDoCalendário,MONTH(JulDom1+32)=7),JulDom1+32,""),IF(AND(YEAR(JulDom1+39)=AnoDoCalendário,MONTH(JulDom1+39)=7),JulDom1+39,""))</f>
        <v/>
      </c>
      <c r="G11" s="7" t="str">
        <f>IF(DAY(JulDom1)=1,IF(AND(YEAR(JulDom1+33)=AnoDoCalendário,MONTH(JulDom1+33)=7),JulDom1+33,""),IF(AND(YEAR(JulDom1+40)=AnoDoCalendário,MONTH(JulDom1+40)=7),JulDom1+40,""))</f>
        <v/>
      </c>
      <c r="H11" s="7" t="str">
        <f>IF(DAY(JulDom1)=1,IF(AND(YEAR(JulDom1+34)=AnoDoCalendário,MONTH(JulDom1+34)=7),JulDom1+34,""),IF(AND(YEAR(JulDom1+41)=AnoDoCalendário,MONTH(JulDom1+41)=7),JulDom1+41,""))</f>
        <v/>
      </c>
      <c r="I11" s="7" t="str">
        <f>IF(DAY(JulDom1)=1,IF(AND(YEAR(JulDom1+35)=AnoDoCalendário,MONTH(JulDom1+35)=7),JulDom1+35,""),IF(AND(YEAR(JulDom1+42)=AnoDoCalendário,MONTH(JulDom1+42)=7),JulDom1+42,""))</f>
        <v/>
      </c>
      <c r="J11" s="5"/>
      <c r="K11" s="7" t="str">
        <f>IF(DAY(AgoDom1)=1,IF(AND(YEAR(AgoDom1+29)=AnoDoCalendário,MONTH(AgoDom1+29)=8),AgoDom1+29,""),IF(AND(YEAR(AgoDom1+36)=AnoDoCalendário,MONTH(AgoDom1+36)=8),AgoDom1+36,""))</f>
        <v/>
      </c>
      <c r="L11" s="7" t="str">
        <f>IF(DAY(AgoDom1)=1,IF(AND(YEAR(AgoDom1+30)=AnoDoCalendário,MONTH(AgoDom1+30)=8),AgoDom1+30,""),IF(AND(YEAR(AgoDom1+37)=AnoDoCalendário,MONTH(AgoDom1+37)=8),AgoDom1+37,""))</f>
        <v/>
      </c>
      <c r="M11" s="7" t="str">
        <f>IF(DAY(AgoDom1)=1,IF(AND(YEAR(AgoDom1+31)=AnoDoCalendário,MONTH(AgoDom1+31)=8),AgoDom1+31,""),IF(AND(YEAR(AgoDom1+38)=AnoDoCalendário,MONTH(AgoDom1+38)=8),AgoDom1+38,""))</f>
        <v/>
      </c>
      <c r="N11" s="7" t="str">
        <f>IF(DAY(AgoDom1)=1,IF(AND(YEAR(AgoDom1+32)=AnoDoCalendário,MONTH(AgoDom1+32)=8),AgoDom1+32,""),IF(AND(YEAR(AgoDom1+39)=AnoDoCalendário,MONTH(AgoDom1+39)=8),AgoDom1+39,""))</f>
        <v/>
      </c>
      <c r="O11" s="7" t="str">
        <f>IF(DAY(AgoDom1)=1,IF(AND(YEAR(AgoDom1+33)=AnoDoCalendário,MONTH(AgoDom1+33)=8),AgoDom1+33,""),IF(AND(YEAR(AgoDom1+40)=AnoDoCalendário,MONTH(AgoDom1+40)=8),AgoDom1+40,""))</f>
        <v/>
      </c>
      <c r="P11" s="7" t="str">
        <f>IF(DAY(AgoDom1)=1,IF(AND(YEAR(AgoDom1+34)=AnoDoCalendário,MONTH(AgoDom1+34)=8),AgoDom1+34,""),IF(AND(YEAR(AgoDom1+41)=AnoDoCalendário,MONTH(AgoDom1+41)=8),AgoDom1+41,""))</f>
        <v/>
      </c>
      <c r="Q11" s="7" t="str">
        <f>IF(DAY(AgoDom1)=1,IF(AND(YEAR(AgoDom1+35)=AnoDoCalendário,MONTH(AgoDom1+35)=8),AgoDom1+35,""),IF(AND(YEAR(AgoDom1+42)=AnoDoCalendário,MONTH(AgoDom1+42)=8),AgoDom1+42,""))</f>
        <v/>
      </c>
      <c r="U11" s="131"/>
      <c r="W11" s="136"/>
      <c r="X11" s="137"/>
      <c r="Y11" s="137"/>
      <c r="Z11" s="137"/>
      <c r="AA11" s="137"/>
      <c r="AB11" s="69"/>
      <c r="AD11" s="40"/>
      <c r="AE11" s="140"/>
      <c r="AF11" s="38"/>
      <c r="AG11" s="121"/>
      <c r="AH11" s="122"/>
      <c r="AI11" s="122"/>
      <c r="AJ11" s="122"/>
      <c r="AK11" s="123"/>
      <c r="AL11" s="40"/>
    </row>
    <row r="12" spans="1:40" ht="15" x14ac:dyDescent="0.2">
      <c r="A12" s="48"/>
      <c r="B12" s="22"/>
      <c r="C12" s="22"/>
      <c r="D12" s="22"/>
      <c r="E12" s="22"/>
      <c r="F12" s="22"/>
      <c r="G12" s="22"/>
      <c r="H12" s="22"/>
      <c r="I12" s="22"/>
      <c r="J12" s="23"/>
      <c r="K12" s="22"/>
      <c r="L12" s="22"/>
      <c r="M12" s="22"/>
      <c r="N12" s="22"/>
      <c r="O12" s="22"/>
      <c r="P12" s="22"/>
      <c r="Q12" s="22"/>
      <c r="R12" s="22"/>
      <c r="U12" s="1"/>
      <c r="AD12" s="40"/>
      <c r="AE12" s="56"/>
      <c r="AF12" s="38"/>
      <c r="AG12" s="38"/>
      <c r="AH12" s="38"/>
      <c r="AI12" s="38"/>
      <c r="AJ12" s="38"/>
      <c r="AK12" s="38"/>
      <c r="AL12" s="40"/>
    </row>
    <row r="13" spans="1:40" ht="15" x14ac:dyDescent="0.2">
      <c r="A13" s="46"/>
      <c r="C13" s="141"/>
      <c r="D13" s="141"/>
      <c r="E13" s="141"/>
      <c r="F13" s="141"/>
      <c r="G13" s="141"/>
      <c r="H13" s="141"/>
      <c r="I13" s="141"/>
      <c r="J13" s="5"/>
      <c r="K13" s="142"/>
      <c r="L13" s="142"/>
      <c r="M13" s="142"/>
      <c r="N13" s="142"/>
      <c r="O13" s="142"/>
      <c r="P13" s="142"/>
      <c r="Q13" s="142"/>
      <c r="U13" s="12" t="s">
        <v>17</v>
      </c>
      <c r="W13" s="12" t="s">
        <v>18</v>
      </c>
      <c r="X13" s="12"/>
      <c r="Y13" s="12"/>
      <c r="Z13" s="12"/>
      <c r="AA13" s="12"/>
      <c r="AB13" s="18"/>
      <c r="AD13" s="40"/>
      <c r="AE13" s="38" t="s">
        <v>17</v>
      </c>
      <c r="AF13" s="38"/>
      <c r="AG13" s="38" t="s">
        <v>18</v>
      </c>
      <c r="AH13" s="38"/>
      <c r="AI13" s="38"/>
      <c r="AJ13" s="38"/>
      <c r="AK13" s="38"/>
      <c r="AL13" s="40"/>
    </row>
    <row r="14" spans="1:40" ht="15" customHeight="1" x14ac:dyDescent="0.2">
      <c r="A14" s="46"/>
      <c r="C14" s="26" t="s">
        <v>19</v>
      </c>
      <c r="D14" s="27"/>
      <c r="E14" s="28"/>
      <c r="F14" s="27" t="s">
        <v>20</v>
      </c>
      <c r="G14" s="28"/>
      <c r="H14" s="28" t="s">
        <v>21</v>
      </c>
      <c r="I14" s="3"/>
      <c r="J14" s="75"/>
      <c r="K14" s="26" t="s">
        <v>19</v>
      </c>
      <c r="L14" s="27"/>
      <c r="M14" s="27" t="s">
        <v>20</v>
      </c>
      <c r="N14" s="27"/>
      <c r="O14" s="27" t="s">
        <v>21</v>
      </c>
      <c r="P14" s="75"/>
      <c r="Q14" s="79"/>
      <c r="R14" s="17"/>
      <c r="U14" s="143" t="s">
        <v>22</v>
      </c>
      <c r="W14" s="132" t="s">
        <v>23</v>
      </c>
      <c r="X14" s="146"/>
      <c r="Y14" s="146"/>
      <c r="Z14" s="146"/>
      <c r="AA14" s="146"/>
      <c r="AB14" s="67"/>
      <c r="AD14" s="40"/>
      <c r="AE14" s="151"/>
      <c r="AF14" s="38"/>
      <c r="AG14" s="115"/>
      <c r="AH14" s="116"/>
      <c r="AI14" s="116"/>
      <c r="AJ14" s="116"/>
      <c r="AK14" s="117"/>
      <c r="AL14" s="40"/>
    </row>
    <row r="15" spans="1:40" ht="15" customHeight="1" x14ac:dyDescent="0.2">
      <c r="A15" s="46"/>
      <c r="C15" s="29" t="s">
        <v>140</v>
      </c>
      <c r="D15" s="30"/>
      <c r="E15" s="31"/>
      <c r="F15" s="104">
        <v>45474</v>
      </c>
      <c r="G15" s="100"/>
      <c r="H15" s="73" t="s">
        <v>24</v>
      </c>
      <c r="I15" s="74"/>
      <c r="J15" s="74"/>
      <c r="K15" s="29" t="s">
        <v>118</v>
      </c>
      <c r="L15" s="81"/>
      <c r="M15" s="101">
        <v>45505</v>
      </c>
      <c r="N15" s="102"/>
      <c r="O15" s="73" t="s">
        <v>24</v>
      </c>
      <c r="P15" s="76"/>
      <c r="Q15" s="74"/>
      <c r="R15" s="17"/>
      <c r="U15" s="144"/>
      <c r="W15" s="147"/>
      <c r="X15" s="148"/>
      <c r="Y15" s="148"/>
      <c r="Z15" s="148"/>
      <c r="AA15" s="148"/>
      <c r="AB15" s="68"/>
      <c r="AD15" s="40"/>
      <c r="AE15" s="152"/>
      <c r="AF15" s="38"/>
      <c r="AG15" s="118"/>
      <c r="AH15" s="119"/>
      <c r="AI15" s="119"/>
      <c r="AJ15" s="119"/>
      <c r="AK15" s="120"/>
      <c r="AL15" s="40"/>
    </row>
    <row r="16" spans="1:40" ht="15" customHeight="1" x14ac:dyDescent="0.2">
      <c r="A16" s="46"/>
      <c r="C16" s="32" t="s">
        <v>141</v>
      </c>
      <c r="D16" s="33"/>
      <c r="E16" s="34"/>
      <c r="F16" s="103">
        <v>45476</v>
      </c>
      <c r="G16" s="98"/>
      <c r="H16" s="73" t="s">
        <v>24</v>
      </c>
      <c r="I16" s="7"/>
      <c r="J16" s="17"/>
      <c r="K16" s="32" t="s">
        <v>119</v>
      </c>
      <c r="L16" s="33"/>
      <c r="M16" s="97">
        <v>45506</v>
      </c>
      <c r="N16" s="98"/>
      <c r="O16" s="73" t="s">
        <v>24</v>
      </c>
      <c r="P16" s="17"/>
      <c r="Q16" s="78"/>
      <c r="R16" s="17"/>
      <c r="U16" s="144"/>
      <c r="W16" s="147"/>
      <c r="X16" s="148"/>
      <c r="Y16" s="148"/>
      <c r="Z16" s="148"/>
      <c r="AA16" s="148"/>
      <c r="AB16" s="68"/>
      <c r="AD16" s="40"/>
      <c r="AE16" s="152"/>
      <c r="AF16" s="38"/>
      <c r="AG16" s="118"/>
      <c r="AH16" s="119"/>
      <c r="AI16" s="119"/>
      <c r="AJ16" s="119"/>
      <c r="AK16" s="120"/>
      <c r="AL16" s="40"/>
    </row>
    <row r="17" spans="1:38" ht="15" customHeight="1" x14ac:dyDescent="0.2">
      <c r="C17" s="29" t="s">
        <v>142</v>
      </c>
      <c r="D17" s="30"/>
      <c r="E17" s="31"/>
      <c r="F17" s="104">
        <v>45477</v>
      </c>
      <c r="G17" s="100"/>
      <c r="H17" s="73" t="s">
        <v>24</v>
      </c>
      <c r="I17" s="7"/>
      <c r="J17" s="76"/>
      <c r="K17" s="29" t="s">
        <v>120</v>
      </c>
      <c r="L17" s="82"/>
      <c r="M17" s="99">
        <v>45507</v>
      </c>
      <c r="N17" s="100"/>
      <c r="O17" s="73" t="s">
        <v>24</v>
      </c>
      <c r="P17" s="76"/>
      <c r="Q17" s="78"/>
      <c r="R17" s="17"/>
      <c r="U17" s="144"/>
      <c r="W17" s="147"/>
      <c r="X17" s="148"/>
      <c r="Y17" s="148"/>
      <c r="Z17" s="148"/>
      <c r="AA17" s="148"/>
      <c r="AB17" s="68"/>
      <c r="AD17" s="40"/>
      <c r="AE17" s="152"/>
      <c r="AF17" s="38"/>
      <c r="AG17" s="118"/>
      <c r="AH17" s="119"/>
      <c r="AI17" s="119"/>
      <c r="AJ17" s="119"/>
      <c r="AK17" s="120"/>
      <c r="AL17" s="40"/>
    </row>
    <row r="18" spans="1:38" ht="15" customHeight="1" x14ac:dyDescent="0.2">
      <c r="C18" s="32" t="s">
        <v>143</v>
      </c>
      <c r="D18" s="33"/>
      <c r="E18" s="34"/>
      <c r="F18" s="103">
        <v>45479</v>
      </c>
      <c r="G18" s="98"/>
      <c r="H18" s="73" t="s">
        <v>24</v>
      </c>
      <c r="I18" s="7"/>
      <c r="J18" s="17"/>
      <c r="K18" s="32" t="s">
        <v>121</v>
      </c>
      <c r="L18" s="83"/>
      <c r="M18" s="97">
        <v>45509</v>
      </c>
      <c r="N18" s="98"/>
      <c r="O18" s="73" t="s">
        <v>24</v>
      </c>
      <c r="P18" s="17"/>
      <c r="Q18" s="78"/>
      <c r="R18" s="17"/>
      <c r="U18" s="144"/>
      <c r="W18" s="147"/>
      <c r="X18" s="148"/>
      <c r="Y18" s="148"/>
      <c r="Z18" s="148"/>
      <c r="AA18" s="148"/>
      <c r="AB18" s="68"/>
      <c r="AD18" s="40"/>
      <c r="AE18" s="152"/>
      <c r="AF18" s="38"/>
      <c r="AG18" s="118"/>
      <c r="AH18" s="119"/>
      <c r="AI18" s="119"/>
      <c r="AJ18" s="119"/>
      <c r="AK18" s="120"/>
      <c r="AL18" s="40"/>
    </row>
    <row r="19" spans="1:38" ht="15" customHeight="1" x14ac:dyDescent="0.2">
      <c r="C19" s="29" t="s">
        <v>144</v>
      </c>
      <c r="D19" s="30"/>
      <c r="E19" s="31"/>
      <c r="F19" s="104">
        <v>45478</v>
      </c>
      <c r="G19" s="100"/>
      <c r="H19" s="73" t="s">
        <v>24</v>
      </c>
      <c r="I19" s="7"/>
      <c r="J19" s="76"/>
      <c r="K19" s="29" t="s">
        <v>122</v>
      </c>
      <c r="L19" s="82"/>
      <c r="M19" s="99">
        <v>45510</v>
      </c>
      <c r="N19" s="100"/>
      <c r="O19" s="73" t="s">
        <v>24</v>
      </c>
      <c r="P19" s="76"/>
      <c r="Q19" s="78"/>
      <c r="R19" s="17"/>
      <c r="U19" s="144"/>
      <c r="W19" s="147"/>
      <c r="X19" s="148"/>
      <c r="Y19" s="148"/>
      <c r="Z19" s="148"/>
      <c r="AA19" s="148"/>
      <c r="AB19" s="68"/>
      <c r="AD19" s="40"/>
      <c r="AE19" s="152"/>
      <c r="AF19" s="38"/>
      <c r="AG19" s="118"/>
      <c r="AH19" s="119"/>
      <c r="AI19" s="119"/>
      <c r="AJ19" s="119"/>
      <c r="AK19" s="120"/>
      <c r="AL19" s="40"/>
    </row>
    <row r="20" spans="1:38" ht="15" customHeight="1" x14ac:dyDescent="0.25">
      <c r="C20" s="32" t="s">
        <v>25</v>
      </c>
      <c r="D20" s="33"/>
      <c r="E20" s="49"/>
      <c r="F20" s="103">
        <v>45480</v>
      </c>
      <c r="G20" s="98"/>
      <c r="H20" s="73" t="s">
        <v>24</v>
      </c>
      <c r="I20" s="7"/>
      <c r="J20" s="77"/>
      <c r="K20" s="32" t="s">
        <v>123</v>
      </c>
      <c r="L20" s="83"/>
      <c r="M20" s="97">
        <v>45511</v>
      </c>
      <c r="N20" s="98"/>
      <c r="O20" s="73" t="s">
        <v>24</v>
      </c>
      <c r="P20" s="17"/>
      <c r="Q20" s="78"/>
      <c r="R20" s="17"/>
      <c r="U20" s="145"/>
      <c r="W20" s="149"/>
      <c r="X20" s="150"/>
      <c r="Y20" s="150"/>
      <c r="Z20" s="150"/>
      <c r="AA20" s="150"/>
      <c r="AB20" s="69"/>
      <c r="AD20" s="40"/>
      <c r="AE20" s="153"/>
      <c r="AF20" s="38"/>
      <c r="AG20" s="121"/>
      <c r="AH20" s="122"/>
      <c r="AI20" s="122"/>
      <c r="AJ20" s="122"/>
      <c r="AK20" s="123"/>
      <c r="AL20" s="40"/>
    </row>
    <row r="21" spans="1:38" ht="15" customHeight="1" x14ac:dyDescent="0.2">
      <c r="C21" s="29" t="s">
        <v>145</v>
      </c>
      <c r="D21" s="30"/>
      <c r="E21" s="31"/>
      <c r="F21" s="104">
        <v>45481</v>
      </c>
      <c r="G21" s="100"/>
      <c r="H21" s="73" t="s">
        <v>24</v>
      </c>
      <c r="J21" s="76"/>
      <c r="K21" s="29" t="s">
        <v>124</v>
      </c>
      <c r="L21" s="82"/>
      <c r="M21" s="99">
        <v>45513</v>
      </c>
      <c r="N21" s="100"/>
      <c r="O21" s="73" t="s">
        <v>24</v>
      </c>
      <c r="P21" s="76"/>
      <c r="Q21" s="17"/>
      <c r="R21" s="17"/>
      <c r="U21" s="8"/>
      <c r="V21" s="8"/>
      <c r="W21" s="8"/>
      <c r="X21" s="8"/>
      <c r="Y21" s="8"/>
      <c r="Z21" s="8"/>
      <c r="AA21" s="8"/>
      <c r="AD21" s="40"/>
      <c r="AE21" s="60"/>
      <c r="AF21" s="60"/>
      <c r="AG21" s="60"/>
      <c r="AH21" s="60"/>
      <c r="AI21" s="60"/>
      <c r="AJ21" s="60"/>
      <c r="AK21" s="60"/>
      <c r="AL21" s="40"/>
    </row>
    <row r="22" spans="1:38" ht="15" customHeight="1" x14ac:dyDescent="0.2">
      <c r="C22" s="32" t="s">
        <v>26</v>
      </c>
      <c r="D22" s="33"/>
      <c r="E22" s="34"/>
      <c r="F22" s="103">
        <v>45483</v>
      </c>
      <c r="G22" s="98"/>
      <c r="H22" s="73" t="s">
        <v>24</v>
      </c>
      <c r="J22" s="17"/>
      <c r="K22" s="32" t="s">
        <v>125</v>
      </c>
      <c r="L22" s="83"/>
      <c r="M22" s="97">
        <v>45515</v>
      </c>
      <c r="N22" s="98"/>
      <c r="O22" s="73" t="s">
        <v>24</v>
      </c>
      <c r="P22" s="17"/>
      <c r="Q22" s="17"/>
      <c r="R22" s="17"/>
      <c r="U22" s="38" t="s">
        <v>27</v>
      </c>
      <c r="V22" s="38"/>
      <c r="W22" s="38"/>
      <c r="X22" s="38"/>
      <c r="Y22" s="38"/>
      <c r="Z22" s="38"/>
      <c r="AA22" s="38"/>
      <c r="AB22" s="40"/>
      <c r="AD22" s="40"/>
      <c r="AE22" s="47" t="s">
        <v>27</v>
      </c>
      <c r="AF22" s="47"/>
      <c r="AG22" s="47"/>
      <c r="AH22" s="47"/>
      <c r="AI22" s="47"/>
      <c r="AJ22" s="47"/>
      <c r="AK22" s="47"/>
      <c r="AL22" s="40"/>
    </row>
    <row r="23" spans="1:38" ht="15" customHeight="1" x14ac:dyDescent="0.2">
      <c r="C23" s="29" t="s">
        <v>146</v>
      </c>
      <c r="D23" s="30"/>
      <c r="E23" s="31"/>
      <c r="F23" s="104">
        <v>45486</v>
      </c>
      <c r="G23" s="100"/>
      <c r="H23" s="73" t="s">
        <v>24</v>
      </c>
      <c r="J23" s="76"/>
      <c r="K23" s="29" t="s">
        <v>126</v>
      </c>
      <c r="L23" s="82"/>
      <c r="M23" s="99">
        <v>45515</v>
      </c>
      <c r="N23" s="100"/>
      <c r="O23" s="73" t="s">
        <v>24</v>
      </c>
      <c r="P23" s="76"/>
      <c r="Q23" s="17"/>
      <c r="R23" s="17"/>
      <c r="U23" s="55" t="s">
        <v>13</v>
      </c>
      <c r="V23" s="38"/>
      <c r="W23" s="38" t="s">
        <v>14</v>
      </c>
      <c r="X23" s="38"/>
      <c r="Y23" s="38"/>
      <c r="Z23" s="38"/>
      <c r="AA23" s="38"/>
      <c r="AB23" s="40"/>
      <c r="AD23" s="40"/>
      <c r="AE23" s="58" t="s">
        <v>13</v>
      </c>
      <c r="AF23" s="47"/>
      <c r="AG23" s="47" t="s">
        <v>14</v>
      </c>
      <c r="AH23" s="47"/>
      <c r="AI23" s="47"/>
      <c r="AJ23" s="47"/>
      <c r="AK23" s="47"/>
      <c r="AL23" s="40"/>
    </row>
    <row r="24" spans="1:38" ht="15" customHeight="1" x14ac:dyDescent="0.2">
      <c r="C24" s="32" t="s">
        <v>147</v>
      </c>
      <c r="D24" s="33"/>
      <c r="E24" s="34"/>
      <c r="F24" s="103">
        <v>45487</v>
      </c>
      <c r="G24" s="98"/>
      <c r="H24" s="73" t="s">
        <v>24</v>
      </c>
      <c r="J24" s="17"/>
      <c r="K24" s="32" t="s">
        <v>127</v>
      </c>
      <c r="L24" s="83"/>
      <c r="M24" s="97">
        <v>45517</v>
      </c>
      <c r="N24" s="98"/>
      <c r="O24" s="73" t="s">
        <v>24</v>
      </c>
      <c r="P24" s="17"/>
      <c r="Q24" s="17"/>
      <c r="R24" s="17"/>
      <c r="U24" s="138"/>
      <c r="V24" s="38"/>
      <c r="W24" s="115"/>
      <c r="X24" s="116"/>
      <c r="Y24" s="116"/>
      <c r="Z24" s="116"/>
      <c r="AA24" s="117"/>
      <c r="AB24" s="70"/>
      <c r="AD24" s="40"/>
      <c r="AE24" s="138"/>
      <c r="AF24" s="47"/>
      <c r="AG24" s="115"/>
      <c r="AH24" s="116"/>
      <c r="AI24" s="116"/>
      <c r="AJ24" s="116"/>
      <c r="AK24" s="117"/>
      <c r="AL24" s="40"/>
    </row>
    <row r="25" spans="1:38" ht="15" customHeight="1" x14ac:dyDescent="0.2">
      <c r="C25" s="29" t="s">
        <v>28</v>
      </c>
      <c r="D25" s="30"/>
      <c r="E25" s="31"/>
      <c r="F25" s="104">
        <v>45489</v>
      </c>
      <c r="G25" s="100"/>
      <c r="H25" s="73" t="s">
        <v>24</v>
      </c>
      <c r="J25" s="76"/>
      <c r="K25" s="29" t="s">
        <v>128</v>
      </c>
      <c r="L25" s="82"/>
      <c r="M25" s="99">
        <v>45518</v>
      </c>
      <c r="N25" s="100"/>
      <c r="O25" s="73" t="s">
        <v>24</v>
      </c>
      <c r="P25" s="76"/>
      <c r="Q25" s="17"/>
      <c r="R25" s="17"/>
      <c r="U25" s="139"/>
      <c r="V25" s="38"/>
      <c r="W25" s="118"/>
      <c r="X25" s="119"/>
      <c r="Y25" s="119"/>
      <c r="Z25" s="119"/>
      <c r="AA25" s="120"/>
      <c r="AB25" s="70"/>
      <c r="AD25" s="40"/>
      <c r="AE25" s="139"/>
      <c r="AF25" s="47"/>
      <c r="AG25" s="118"/>
      <c r="AH25" s="119"/>
      <c r="AI25" s="119"/>
      <c r="AJ25" s="119"/>
      <c r="AK25" s="120"/>
      <c r="AL25" s="40"/>
    </row>
    <row r="26" spans="1:38" ht="17.25" customHeight="1" x14ac:dyDescent="0.2">
      <c r="C26" s="32" t="s">
        <v>148</v>
      </c>
      <c r="D26" s="33"/>
      <c r="E26" s="34"/>
      <c r="F26" s="103">
        <v>45490</v>
      </c>
      <c r="G26" s="98"/>
      <c r="H26" s="73" t="s">
        <v>24</v>
      </c>
      <c r="J26" s="17"/>
      <c r="K26" s="32" t="s">
        <v>129</v>
      </c>
      <c r="L26" s="83"/>
      <c r="M26" s="97">
        <v>45518</v>
      </c>
      <c r="N26" s="98"/>
      <c r="O26" s="73" t="s">
        <v>24</v>
      </c>
      <c r="P26" s="17"/>
      <c r="Q26" s="17"/>
      <c r="R26" s="17"/>
      <c r="U26" s="139"/>
      <c r="V26" s="38"/>
      <c r="W26" s="118"/>
      <c r="X26" s="119"/>
      <c r="Y26" s="119"/>
      <c r="Z26" s="119"/>
      <c r="AA26" s="120"/>
      <c r="AB26" s="70"/>
      <c r="AD26" s="40"/>
      <c r="AE26" s="139"/>
      <c r="AF26" s="47"/>
      <c r="AG26" s="118"/>
      <c r="AH26" s="119"/>
      <c r="AI26" s="119"/>
      <c r="AJ26" s="119"/>
      <c r="AK26" s="120"/>
      <c r="AL26" s="40"/>
    </row>
    <row r="27" spans="1:38" ht="15" customHeight="1" x14ac:dyDescent="0.2">
      <c r="C27" s="29" t="s">
        <v>149</v>
      </c>
      <c r="D27" s="30"/>
      <c r="E27" s="31"/>
      <c r="F27" s="104">
        <v>45491</v>
      </c>
      <c r="G27" s="100"/>
      <c r="H27" s="73" t="s">
        <v>24</v>
      </c>
      <c r="J27" s="76"/>
      <c r="K27" s="29" t="s">
        <v>130</v>
      </c>
      <c r="L27" s="82"/>
      <c r="M27" s="99">
        <v>45519</v>
      </c>
      <c r="N27" s="100"/>
      <c r="O27" s="73" t="s">
        <v>24</v>
      </c>
      <c r="P27" s="76"/>
      <c r="Q27" s="17"/>
      <c r="R27" s="17"/>
      <c r="U27" s="139"/>
      <c r="V27" s="38"/>
      <c r="W27" s="118"/>
      <c r="X27" s="119"/>
      <c r="Y27" s="119"/>
      <c r="Z27" s="119"/>
      <c r="AA27" s="120"/>
      <c r="AB27" s="70"/>
      <c r="AD27" s="40"/>
      <c r="AE27" s="139"/>
      <c r="AF27" s="47"/>
      <c r="AG27" s="118"/>
      <c r="AH27" s="119"/>
      <c r="AI27" s="119"/>
      <c r="AJ27" s="119"/>
      <c r="AK27" s="120"/>
      <c r="AL27" s="40"/>
    </row>
    <row r="28" spans="1:38" ht="15" customHeight="1" x14ac:dyDescent="0.2">
      <c r="C28" s="32" t="s">
        <v>150</v>
      </c>
      <c r="D28" s="33"/>
      <c r="E28" s="34"/>
      <c r="F28" s="103">
        <v>45492</v>
      </c>
      <c r="G28" s="98"/>
      <c r="H28" s="73" t="s">
        <v>24</v>
      </c>
      <c r="J28" s="17"/>
      <c r="K28" s="32" t="s">
        <v>131</v>
      </c>
      <c r="L28" s="83"/>
      <c r="M28" s="97">
        <v>45520</v>
      </c>
      <c r="N28" s="98"/>
      <c r="O28" s="73" t="s">
        <v>24</v>
      </c>
      <c r="P28" s="17"/>
      <c r="Q28" s="17"/>
      <c r="R28" s="17"/>
      <c r="U28" s="140"/>
      <c r="V28" s="38"/>
      <c r="W28" s="121"/>
      <c r="X28" s="122"/>
      <c r="Y28" s="122"/>
      <c r="Z28" s="122"/>
      <c r="AA28" s="123"/>
      <c r="AB28" s="70"/>
      <c r="AD28" s="40"/>
      <c r="AE28" s="140"/>
      <c r="AF28" s="47"/>
      <c r="AG28" s="121"/>
      <c r="AH28" s="122"/>
      <c r="AI28" s="122"/>
      <c r="AJ28" s="122"/>
      <c r="AK28" s="123"/>
      <c r="AL28" s="40"/>
    </row>
    <row r="29" spans="1:38" ht="15" customHeight="1" x14ac:dyDescent="0.2">
      <c r="C29" s="29" t="s">
        <v>151</v>
      </c>
      <c r="D29" s="30"/>
      <c r="E29" s="31"/>
      <c r="F29" s="104">
        <v>45492</v>
      </c>
      <c r="G29" s="100"/>
      <c r="H29" s="73" t="s">
        <v>24</v>
      </c>
      <c r="J29" s="76"/>
      <c r="K29" s="29" t="s">
        <v>132</v>
      </c>
      <c r="L29" s="82"/>
      <c r="M29" s="99">
        <v>45522</v>
      </c>
      <c r="N29" s="100"/>
      <c r="O29" s="73" t="s">
        <v>24</v>
      </c>
      <c r="P29" s="76"/>
      <c r="Q29" s="17"/>
      <c r="R29" s="17"/>
      <c r="U29" s="56"/>
      <c r="V29" s="38"/>
      <c r="W29" s="38"/>
      <c r="X29" s="38"/>
      <c r="Y29" s="38"/>
      <c r="Z29" s="38"/>
      <c r="AA29" s="38"/>
      <c r="AB29" s="40"/>
      <c r="AD29" s="40"/>
      <c r="AE29" s="59"/>
      <c r="AF29" s="47"/>
      <c r="AG29" s="47"/>
      <c r="AH29" s="47"/>
      <c r="AI29" s="47"/>
      <c r="AJ29" s="47"/>
      <c r="AK29" s="47"/>
      <c r="AL29" s="40"/>
    </row>
    <row r="30" spans="1:38" s="4" customFormat="1" ht="15" customHeight="1" x14ac:dyDescent="0.2">
      <c r="A30" s="47"/>
      <c r="B30"/>
      <c r="C30" s="32" t="s">
        <v>152</v>
      </c>
      <c r="D30" s="33"/>
      <c r="E30" s="34"/>
      <c r="F30" s="103">
        <v>45493</v>
      </c>
      <c r="G30" s="98"/>
      <c r="H30" s="73" t="s">
        <v>24</v>
      </c>
      <c r="I30"/>
      <c r="J30" s="17"/>
      <c r="K30" s="32" t="s">
        <v>133</v>
      </c>
      <c r="L30" s="83"/>
      <c r="M30" s="97">
        <v>45523</v>
      </c>
      <c r="N30" s="98"/>
      <c r="O30" s="73" t="s">
        <v>24</v>
      </c>
      <c r="P30" s="17"/>
      <c r="Q30" s="17"/>
      <c r="R30" s="17"/>
      <c r="S30" s="43"/>
      <c r="T30"/>
      <c r="U30" s="38"/>
      <c r="V30" s="38"/>
      <c r="W30" s="38" t="s">
        <v>18</v>
      </c>
      <c r="X30" s="38"/>
      <c r="Y30" s="38"/>
      <c r="Z30" s="38"/>
      <c r="AA30" s="38"/>
      <c r="AB30" s="40"/>
      <c r="AC30"/>
      <c r="AD30" s="40"/>
      <c r="AE30" s="47" t="s">
        <v>17</v>
      </c>
      <c r="AF30" s="47"/>
      <c r="AG30" s="47" t="s">
        <v>18</v>
      </c>
      <c r="AH30" s="47"/>
      <c r="AI30" s="47"/>
      <c r="AJ30" s="47"/>
      <c r="AK30" s="47"/>
      <c r="AL30" s="40"/>
    </row>
    <row r="31" spans="1:38" s="4" customFormat="1" ht="15" customHeight="1" x14ac:dyDescent="0.2">
      <c r="A31" s="47"/>
      <c r="B31"/>
      <c r="C31" s="29" t="s">
        <v>153</v>
      </c>
      <c r="D31" s="30"/>
      <c r="E31" s="31"/>
      <c r="F31" s="104">
        <v>45495</v>
      </c>
      <c r="G31" s="100"/>
      <c r="H31" s="73" t="s">
        <v>24</v>
      </c>
      <c r="I31"/>
      <c r="J31" s="76"/>
      <c r="K31" s="29" t="s">
        <v>134</v>
      </c>
      <c r="L31" s="82"/>
      <c r="M31" s="99">
        <v>45528</v>
      </c>
      <c r="N31" s="100"/>
      <c r="O31" s="73" t="s">
        <v>24</v>
      </c>
      <c r="P31" s="76"/>
      <c r="Q31" s="17"/>
      <c r="R31" s="17"/>
      <c r="S31" s="43"/>
      <c r="T31"/>
      <c r="U31" s="151"/>
      <c r="V31" s="38"/>
      <c r="W31" s="115"/>
      <c r="X31" s="116"/>
      <c r="Y31" s="116"/>
      <c r="Z31" s="116"/>
      <c r="AA31" s="117"/>
      <c r="AB31" s="70"/>
      <c r="AC31"/>
      <c r="AD31" s="40"/>
      <c r="AE31" s="151"/>
      <c r="AF31" s="47"/>
      <c r="AG31" s="115"/>
      <c r="AH31" s="116"/>
      <c r="AI31" s="116"/>
      <c r="AJ31" s="116"/>
      <c r="AK31" s="117"/>
      <c r="AL31" s="40"/>
    </row>
    <row r="32" spans="1:38" s="4" customFormat="1" ht="15" customHeight="1" x14ac:dyDescent="0.2">
      <c r="A32" s="47"/>
      <c r="B32"/>
      <c r="C32" s="32" t="s">
        <v>154</v>
      </c>
      <c r="D32" s="33"/>
      <c r="E32" s="34"/>
      <c r="F32" s="103">
        <v>45497</v>
      </c>
      <c r="G32" s="98"/>
      <c r="H32" s="73" t="s">
        <v>24</v>
      </c>
      <c r="I32"/>
      <c r="J32" s="17"/>
      <c r="K32" s="32" t="s">
        <v>29</v>
      </c>
      <c r="L32" s="83"/>
      <c r="M32" s="97">
        <v>45529</v>
      </c>
      <c r="N32" s="98"/>
      <c r="O32" s="73" t="s">
        <v>24</v>
      </c>
      <c r="P32" s="17"/>
      <c r="Q32" s="17"/>
      <c r="R32" s="17"/>
      <c r="S32" s="43"/>
      <c r="T32"/>
      <c r="U32" s="152"/>
      <c r="V32" s="38"/>
      <c r="W32" s="118"/>
      <c r="X32" s="119"/>
      <c r="Y32" s="119"/>
      <c r="Z32" s="119"/>
      <c r="AA32" s="120"/>
      <c r="AB32" s="70"/>
      <c r="AC32"/>
      <c r="AD32" s="40"/>
      <c r="AE32" s="152"/>
      <c r="AF32" s="47"/>
      <c r="AG32" s="118"/>
      <c r="AH32" s="119"/>
      <c r="AI32" s="119"/>
      <c r="AJ32" s="119"/>
      <c r="AK32" s="120"/>
      <c r="AL32" s="40"/>
    </row>
    <row r="33" spans="1:38" s="4" customFormat="1" ht="15" customHeight="1" x14ac:dyDescent="0.2">
      <c r="A33" s="47"/>
      <c r="B33"/>
      <c r="C33" s="29" t="s">
        <v>155</v>
      </c>
      <c r="D33" s="30"/>
      <c r="E33" s="31"/>
      <c r="F33" s="104">
        <v>45498</v>
      </c>
      <c r="G33" s="100"/>
      <c r="H33" s="73" t="s">
        <v>24</v>
      </c>
      <c r="I33"/>
      <c r="J33" s="76"/>
      <c r="K33" s="29" t="s">
        <v>135</v>
      </c>
      <c r="L33" s="82"/>
      <c r="M33" s="99">
        <v>45530</v>
      </c>
      <c r="N33" s="100"/>
      <c r="O33" s="73" t="s">
        <v>24</v>
      </c>
      <c r="P33" s="76"/>
      <c r="Q33" s="17"/>
      <c r="R33" s="17"/>
      <c r="S33" s="43"/>
      <c r="T33"/>
      <c r="U33" s="152"/>
      <c r="V33" s="38"/>
      <c r="W33" s="118"/>
      <c r="X33" s="119"/>
      <c r="Y33" s="119"/>
      <c r="Z33" s="119"/>
      <c r="AA33" s="120"/>
      <c r="AB33" s="70"/>
      <c r="AC33"/>
      <c r="AD33" s="40"/>
      <c r="AE33" s="152"/>
      <c r="AF33" s="47"/>
      <c r="AG33" s="118"/>
      <c r="AH33" s="119"/>
      <c r="AI33" s="119"/>
      <c r="AJ33" s="119"/>
      <c r="AK33" s="120"/>
      <c r="AL33" s="40"/>
    </row>
    <row r="34" spans="1:38" s="4" customFormat="1" ht="15" customHeight="1" x14ac:dyDescent="0.2">
      <c r="A34" s="47"/>
      <c r="B34"/>
      <c r="C34" s="32" t="s">
        <v>156</v>
      </c>
      <c r="D34" s="33"/>
      <c r="E34" s="34"/>
      <c r="F34" s="103">
        <v>45499</v>
      </c>
      <c r="G34" s="98"/>
      <c r="H34" s="73" t="s">
        <v>24</v>
      </c>
      <c r="I34"/>
      <c r="J34" s="17"/>
      <c r="K34" s="32" t="s">
        <v>136</v>
      </c>
      <c r="L34" s="83"/>
      <c r="M34" s="97">
        <v>45531</v>
      </c>
      <c r="N34" s="98"/>
      <c r="O34" s="73" t="s">
        <v>24</v>
      </c>
      <c r="P34" s="17"/>
      <c r="Q34" s="17"/>
      <c r="R34" s="17"/>
      <c r="S34" s="43"/>
      <c r="T34"/>
      <c r="U34" s="152"/>
      <c r="V34" s="38"/>
      <c r="W34" s="118"/>
      <c r="X34" s="119"/>
      <c r="Y34" s="119"/>
      <c r="Z34" s="119"/>
      <c r="AA34" s="120"/>
      <c r="AB34" s="70"/>
      <c r="AC34"/>
      <c r="AD34" s="40"/>
      <c r="AE34" s="152"/>
      <c r="AF34" s="47"/>
      <c r="AG34" s="118"/>
      <c r="AH34" s="119"/>
      <c r="AI34" s="119"/>
      <c r="AJ34" s="119"/>
      <c r="AK34" s="120"/>
      <c r="AL34" s="40"/>
    </row>
    <row r="35" spans="1:38" ht="15" customHeight="1" x14ac:dyDescent="0.2">
      <c r="C35" s="29" t="s">
        <v>30</v>
      </c>
      <c r="D35" s="30"/>
      <c r="E35" s="31"/>
      <c r="F35" s="104">
        <v>45500</v>
      </c>
      <c r="G35" s="100"/>
      <c r="H35" s="73" t="s">
        <v>24</v>
      </c>
      <c r="J35" s="76"/>
      <c r="K35" s="29" t="s">
        <v>137</v>
      </c>
      <c r="L35" s="82"/>
      <c r="M35" s="99">
        <v>45532</v>
      </c>
      <c r="N35" s="100"/>
      <c r="O35" s="73" t="s">
        <v>24</v>
      </c>
      <c r="P35" s="76"/>
      <c r="Q35" s="17"/>
      <c r="R35" s="17"/>
      <c r="U35" s="152"/>
      <c r="V35" s="38"/>
      <c r="W35" s="118"/>
      <c r="X35" s="119"/>
      <c r="Y35" s="119"/>
      <c r="Z35" s="119"/>
      <c r="AA35" s="120"/>
      <c r="AB35" s="70"/>
      <c r="AD35" s="40"/>
      <c r="AE35" s="152"/>
      <c r="AF35" s="47"/>
      <c r="AG35" s="118"/>
      <c r="AH35" s="119"/>
      <c r="AI35" s="119"/>
      <c r="AJ35" s="119"/>
      <c r="AK35" s="120"/>
      <c r="AL35" s="40"/>
    </row>
    <row r="36" spans="1:38" ht="14.25" customHeight="1" x14ac:dyDescent="0.2">
      <c r="C36" s="29" t="s">
        <v>31</v>
      </c>
      <c r="D36" s="30"/>
      <c r="E36" s="31"/>
      <c r="F36" s="104">
        <v>45501</v>
      </c>
      <c r="G36" s="100"/>
      <c r="H36" s="73" t="s">
        <v>24</v>
      </c>
      <c r="K36" s="32" t="s">
        <v>138</v>
      </c>
      <c r="L36" s="83"/>
      <c r="M36" s="97">
        <v>45533</v>
      </c>
      <c r="N36" s="98"/>
      <c r="O36" s="73" t="s">
        <v>24</v>
      </c>
      <c r="P36" s="17"/>
      <c r="Q36" s="17"/>
      <c r="R36" s="17"/>
      <c r="U36" s="152"/>
      <c r="V36" s="38"/>
      <c r="W36" s="118"/>
      <c r="X36" s="119"/>
      <c r="Y36" s="119"/>
      <c r="Z36" s="119"/>
      <c r="AA36" s="120"/>
      <c r="AB36" s="70"/>
      <c r="AD36" s="40"/>
      <c r="AE36" s="152"/>
      <c r="AF36" s="47"/>
      <c r="AG36" s="118"/>
      <c r="AH36" s="119"/>
      <c r="AI36" s="119"/>
      <c r="AJ36" s="119"/>
      <c r="AK36" s="120"/>
      <c r="AL36" s="40"/>
    </row>
    <row r="37" spans="1:38" ht="14.25" customHeight="1" x14ac:dyDescent="0.2">
      <c r="C37" s="29" t="s">
        <v>157</v>
      </c>
      <c r="D37" s="30"/>
      <c r="E37" s="31"/>
      <c r="F37" s="104">
        <v>45501</v>
      </c>
      <c r="G37" s="100"/>
      <c r="H37" s="73" t="s">
        <v>24</v>
      </c>
      <c r="K37" s="32" t="s">
        <v>139</v>
      </c>
      <c r="L37" s="83"/>
      <c r="M37" s="97">
        <v>45535</v>
      </c>
      <c r="N37" s="98"/>
      <c r="O37" s="73" t="s">
        <v>24</v>
      </c>
      <c r="U37" s="153"/>
      <c r="V37" s="38"/>
      <c r="W37" s="121"/>
      <c r="X37" s="122"/>
      <c r="Y37" s="122"/>
      <c r="Z37" s="122"/>
      <c r="AA37" s="123"/>
      <c r="AB37" s="70"/>
      <c r="AD37" s="40"/>
      <c r="AE37" s="153"/>
      <c r="AF37" s="47"/>
      <c r="AG37" s="121"/>
      <c r="AH37" s="122"/>
      <c r="AI37" s="122"/>
      <c r="AJ37" s="122"/>
      <c r="AK37" s="123"/>
      <c r="AL37" s="40"/>
    </row>
    <row r="38" spans="1:38" x14ac:dyDescent="0.2">
      <c r="U38" s="4"/>
      <c r="V38" s="4"/>
      <c r="W38" s="4"/>
      <c r="X38" s="4"/>
      <c r="Y38" s="4"/>
      <c r="Z38" s="4"/>
      <c r="AA38" s="4"/>
      <c r="AB38" s="40"/>
      <c r="AD38" s="40"/>
      <c r="AE38" s="4"/>
      <c r="AF38" s="4"/>
      <c r="AG38" s="4"/>
      <c r="AH38" s="4"/>
      <c r="AI38" s="4"/>
      <c r="AJ38" s="4"/>
      <c r="AK38" s="4"/>
      <c r="AL38" s="40"/>
    </row>
    <row r="39" spans="1:38" x14ac:dyDescent="0.2">
      <c r="U39" s="57" t="s">
        <v>27</v>
      </c>
      <c r="V39" s="57"/>
      <c r="W39" s="57"/>
      <c r="X39" s="57"/>
      <c r="Y39" s="57"/>
      <c r="Z39" s="57"/>
      <c r="AA39" s="57"/>
      <c r="AB39" s="40"/>
      <c r="AD39" s="40"/>
      <c r="AE39" s="61" t="s">
        <v>27</v>
      </c>
      <c r="AF39" s="61"/>
      <c r="AG39" s="61"/>
      <c r="AH39" s="61"/>
      <c r="AI39" s="61"/>
      <c r="AJ39" s="61"/>
      <c r="AK39" s="61"/>
      <c r="AL39" s="40"/>
    </row>
    <row r="40" spans="1:38" ht="12" x14ac:dyDescent="0.2">
      <c r="U40" s="58" t="s">
        <v>13</v>
      </c>
      <c r="V40" s="47"/>
      <c r="W40" s="47" t="s">
        <v>14</v>
      </c>
      <c r="X40" s="47"/>
      <c r="Y40" s="47"/>
      <c r="Z40" s="47"/>
      <c r="AA40" s="47"/>
      <c r="AB40" s="40"/>
      <c r="AD40" s="40"/>
      <c r="AE40" s="55" t="s">
        <v>13</v>
      </c>
      <c r="AF40" s="38"/>
      <c r="AG40" s="38" t="s">
        <v>14</v>
      </c>
      <c r="AH40" s="38"/>
      <c r="AI40" s="38"/>
      <c r="AJ40" s="38"/>
      <c r="AK40" s="38"/>
      <c r="AL40" s="40"/>
    </row>
    <row r="41" spans="1:38" x14ac:dyDescent="0.2">
      <c r="U41" s="138"/>
      <c r="V41" s="47"/>
      <c r="W41" s="115"/>
      <c r="X41" s="116"/>
      <c r="Y41" s="116"/>
      <c r="Z41" s="116"/>
      <c r="AA41" s="117"/>
      <c r="AB41" s="70"/>
      <c r="AD41" s="40"/>
      <c r="AE41" s="138"/>
      <c r="AF41" s="38"/>
      <c r="AG41" s="115"/>
      <c r="AH41" s="116"/>
      <c r="AI41" s="116"/>
      <c r="AJ41" s="116"/>
      <c r="AK41" s="117"/>
      <c r="AL41" s="40"/>
    </row>
    <row r="42" spans="1:38" x14ac:dyDescent="0.2">
      <c r="U42" s="139"/>
      <c r="V42" s="47"/>
      <c r="W42" s="118"/>
      <c r="X42" s="119"/>
      <c r="Y42" s="119"/>
      <c r="Z42" s="119"/>
      <c r="AA42" s="120"/>
      <c r="AB42" s="70"/>
      <c r="AD42" s="40"/>
      <c r="AE42" s="139"/>
      <c r="AF42" s="38"/>
      <c r="AG42" s="118"/>
      <c r="AH42" s="119"/>
      <c r="AI42" s="119"/>
      <c r="AJ42" s="119"/>
      <c r="AK42" s="120"/>
      <c r="AL42" s="40"/>
    </row>
    <row r="43" spans="1:38" x14ac:dyDescent="0.2">
      <c r="U43" s="139"/>
      <c r="V43" s="47"/>
      <c r="W43" s="118"/>
      <c r="X43" s="119"/>
      <c r="Y43" s="119"/>
      <c r="Z43" s="119"/>
      <c r="AA43" s="120"/>
      <c r="AB43" s="70"/>
      <c r="AD43" s="40"/>
      <c r="AE43" s="139"/>
      <c r="AF43" s="38"/>
      <c r="AG43" s="118"/>
      <c r="AH43" s="119"/>
      <c r="AI43" s="119"/>
      <c r="AJ43" s="119"/>
      <c r="AK43" s="120"/>
      <c r="AL43" s="40"/>
    </row>
    <row r="44" spans="1:38" x14ac:dyDescent="0.2">
      <c r="U44" s="139"/>
      <c r="V44" s="47"/>
      <c r="W44" s="118"/>
      <c r="X44" s="119"/>
      <c r="Y44" s="119"/>
      <c r="Z44" s="119"/>
      <c r="AA44" s="120"/>
      <c r="AB44" s="70"/>
      <c r="AD44" s="40"/>
      <c r="AE44" s="139"/>
      <c r="AF44" s="38"/>
      <c r="AG44" s="118"/>
      <c r="AH44" s="119"/>
      <c r="AI44" s="119"/>
      <c r="AJ44" s="119"/>
      <c r="AK44" s="120"/>
      <c r="AL44" s="40"/>
    </row>
    <row r="45" spans="1:38" x14ac:dyDescent="0.2">
      <c r="U45" s="140"/>
      <c r="V45" s="47"/>
      <c r="W45" s="121"/>
      <c r="X45" s="122"/>
      <c r="Y45" s="122"/>
      <c r="Z45" s="122"/>
      <c r="AA45" s="123"/>
      <c r="AB45" s="70"/>
      <c r="AD45" s="40"/>
      <c r="AE45" s="140"/>
      <c r="AF45" s="38"/>
      <c r="AG45" s="121"/>
      <c r="AH45" s="122"/>
      <c r="AI45" s="122"/>
      <c r="AJ45" s="122"/>
      <c r="AK45" s="123"/>
      <c r="AL45" s="40"/>
    </row>
    <row r="46" spans="1:38" x14ac:dyDescent="0.2">
      <c r="U46" s="59"/>
      <c r="V46" s="47"/>
      <c r="W46" s="47"/>
      <c r="X46" s="47"/>
      <c r="Y46" s="47"/>
      <c r="Z46" s="47"/>
      <c r="AA46" s="47"/>
      <c r="AB46" s="40"/>
      <c r="AD46" s="40"/>
      <c r="AE46" s="56"/>
      <c r="AF46" s="38"/>
      <c r="AG46" s="38"/>
      <c r="AH46" s="38"/>
      <c r="AI46" s="38"/>
      <c r="AJ46" s="38"/>
      <c r="AK46" s="38"/>
      <c r="AL46" s="40"/>
    </row>
    <row r="47" spans="1:38" x14ac:dyDescent="0.2">
      <c r="U47" s="47" t="s">
        <v>17</v>
      </c>
      <c r="V47" s="47"/>
      <c r="W47" s="47" t="s">
        <v>18</v>
      </c>
      <c r="X47" s="47"/>
      <c r="Y47" s="47"/>
      <c r="Z47" s="47"/>
      <c r="AA47" s="47"/>
      <c r="AB47" s="40"/>
      <c r="AD47" s="40"/>
      <c r="AE47" s="38" t="s">
        <v>17</v>
      </c>
      <c r="AF47" s="38"/>
      <c r="AG47" s="38" t="s">
        <v>18</v>
      </c>
      <c r="AH47" s="38"/>
      <c r="AI47" s="38"/>
      <c r="AJ47" s="38"/>
      <c r="AK47" s="38"/>
      <c r="AL47" s="40"/>
    </row>
    <row r="48" spans="1:38" x14ac:dyDescent="0.2">
      <c r="U48" s="151"/>
      <c r="V48" s="47"/>
      <c r="W48" s="115"/>
      <c r="X48" s="116"/>
      <c r="Y48" s="116"/>
      <c r="Z48" s="116"/>
      <c r="AA48" s="117"/>
      <c r="AB48" s="70"/>
      <c r="AD48" s="40"/>
      <c r="AE48" s="151"/>
      <c r="AF48" s="38"/>
      <c r="AG48" s="115"/>
      <c r="AH48" s="116"/>
      <c r="AI48" s="116"/>
      <c r="AJ48" s="116"/>
      <c r="AK48" s="117"/>
      <c r="AL48" s="40"/>
    </row>
    <row r="49" spans="21:38" x14ac:dyDescent="0.2">
      <c r="U49" s="152"/>
      <c r="V49" s="47"/>
      <c r="W49" s="118"/>
      <c r="X49" s="119"/>
      <c r="Y49" s="119"/>
      <c r="Z49" s="119"/>
      <c r="AA49" s="120"/>
      <c r="AB49" s="70"/>
      <c r="AD49" s="40"/>
      <c r="AE49" s="152"/>
      <c r="AF49" s="38"/>
      <c r="AG49" s="118"/>
      <c r="AH49" s="119"/>
      <c r="AI49" s="119"/>
      <c r="AJ49" s="119"/>
      <c r="AK49" s="120"/>
      <c r="AL49" s="40"/>
    </row>
    <row r="50" spans="21:38" x14ac:dyDescent="0.2">
      <c r="U50" s="152"/>
      <c r="V50" s="47"/>
      <c r="W50" s="118"/>
      <c r="X50" s="119"/>
      <c r="Y50" s="119"/>
      <c r="Z50" s="119"/>
      <c r="AA50" s="120"/>
      <c r="AB50" s="70"/>
      <c r="AD50" s="40"/>
      <c r="AE50" s="152"/>
      <c r="AF50" s="38"/>
      <c r="AG50" s="118"/>
      <c r="AH50" s="119"/>
      <c r="AI50" s="119"/>
      <c r="AJ50" s="119"/>
      <c r="AK50" s="120"/>
      <c r="AL50" s="40"/>
    </row>
    <row r="51" spans="21:38" x14ac:dyDescent="0.2">
      <c r="U51" s="152"/>
      <c r="V51" s="47"/>
      <c r="W51" s="118"/>
      <c r="X51" s="119"/>
      <c r="Y51" s="119"/>
      <c r="Z51" s="119"/>
      <c r="AA51" s="120"/>
      <c r="AB51" s="70"/>
      <c r="AD51" s="40"/>
      <c r="AE51" s="152"/>
      <c r="AF51" s="38"/>
      <c r="AG51" s="118"/>
      <c r="AH51" s="119"/>
      <c r="AI51" s="119"/>
      <c r="AJ51" s="119"/>
      <c r="AK51" s="120"/>
      <c r="AL51" s="40"/>
    </row>
    <row r="52" spans="21:38" x14ac:dyDescent="0.2">
      <c r="U52" s="152"/>
      <c r="V52" s="47"/>
      <c r="W52" s="118"/>
      <c r="X52" s="119"/>
      <c r="Y52" s="119"/>
      <c r="Z52" s="119"/>
      <c r="AA52" s="120"/>
      <c r="AB52" s="70"/>
      <c r="AD52" s="40"/>
      <c r="AE52" s="152"/>
      <c r="AF52" s="38"/>
      <c r="AG52" s="118"/>
      <c r="AH52" s="119"/>
      <c r="AI52" s="119"/>
      <c r="AJ52" s="119"/>
      <c r="AK52" s="120"/>
      <c r="AL52" s="40"/>
    </row>
    <row r="53" spans="21:38" x14ac:dyDescent="0.2">
      <c r="U53" s="152"/>
      <c r="V53" s="47"/>
      <c r="W53" s="118"/>
      <c r="X53" s="119"/>
      <c r="Y53" s="119"/>
      <c r="Z53" s="119"/>
      <c r="AA53" s="120"/>
      <c r="AB53" s="70"/>
      <c r="AD53" s="40"/>
      <c r="AE53" s="152"/>
      <c r="AF53" s="38"/>
      <c r="AG53" s="118"/>
      <c r="AH53" s="119"/>
      <c r="AI53" s="119"/>
      <c r="AJ53" s="119"/>
      <c r="AK53" s="120"/>
      <c r="AL53" s="40"/>
    </row>
    <row r="54" spans="21:38" x14ac:dyDescent="0.2">
      <c r="U54" s="153"/>
      <c r="V54" s="47"/>
      <c r="W54" s="121"/>
      <c r="X54" s="122"/>
      <c r="Y54" s="122"/>
      <c r="Z54" s="122"/>
      <c r="AA54" s="123"/>
      <c r="AB54" s="70"/>
      <c r="AD54" s="40"/>
      <c r="AE54" s="153"/>
      <c r="AF54" s="38"/>
      <c r="AG54" s="121"/>
      <c r="AH54" s="122"/>
      <c r="AI54" s="122"/>
      <c r="AJ54" s="122"/>
      <c r="AK54" s="123"/>
      <c r="AL54" s="40"/>
    </row>
    <row r="55" spans="21:38" x14ac:dyDescent="0.2">
      <c r="U55" s="47"/>
      <c r="V55" s="47"/>
      <c r="W55" s="47"/>
      <c r="X55" s="47"/>
      <c r="Y55" s="47"/>
      <c r="Z55" s="47"/>
      <c r="AA55" s="47"/>
      <c r="AB55" s="40"/>
      <c r="AD55" s="40"/>
      <c r="AE55" s="38"/>
      <c r="AF55" s="38"/>
      <c r="AG55" s="38"/>
      <c r="AH55" s="38"/>
      <c r="AI55" s="38"/>
      <c r="AJ55" s="38"/>
      <c r="AK55" s="38"/>
      <c r="AL55" s="40"/>
    </row>
  </sheetData>
  <mergeCells count="31">
    <mergeCell ref="U41:U45"/>
    <mergeCell ref="W41:AA45"/>
    <mergeCell ref="AE41:AE45"/>
    <mergeCell ref="AG41:AK45"/>
    <mergeCell ref="U48:U54"/>
    <mergeCell ref="W48:AA54"/>
    <mergeCell ref="AE48:AE54"/>
    <mergeCell ref="AG48:AK54"/>
    <mergeCell ref="U24:U28"/>
    <mergeCell ref="W24:AA28"/>
    <mergeCell ref="AE24:AE28"/>
    <mergeCell ref="AG24:AK28"/>
    <mergeCell ref="U31:U37"/>
    <mergeCell ref="W31:AA37"/>
    <mergeCell ref="AE31:AE37"/>
    <mergeCell ref="AG31:AK37"/>
    <mergeCell ref="AG14:AK20"/>
    <mergeCell ref="B1:R1"/>
    <mergeCell ref="T1:AN1"/>
    <mergeCell ref="B2:J2"/>
    <mergeCell ref="C4:I4"/>
    <mergeCell ref="K4:Q4"/>
    <mergeCell ref="U7:U11"/>
    <mergeCell ref="W7:AA11"/>
    <mergeCell ref="AE7:AE11"/>
    <mergeCell ref="AG7:AK11"/>
    <mergeCell ref="C13:I13"/>
    <mergeCell ref="K13:Q13"/>
    <mergeCell ref="U14:U20"/>
    <mergeCell ref="W14:AA20"/>
    <mergeCell ref="AE14:AE20"/>
  </mergeCells>
  <dataValidations count="1">
    <dataValidation allowBlank="1" showInputMessage="1" showErrorMessage="1" errorTitle="Ano Inválido" error="Insira um ano de 1900 a 9999 ou use a barra de rolagem para encontrar um ano." sqref="B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3"/>
  <sheetViews>
    <sheetView showGridLines="0" zoomScaleNormal="100" workbookViewId="0">
      <pane xSplit="1" topLeftCell="B1" activePane="topRight" state="frozen"/>
      <selection activeCell="B1" sqref="B1:R1"/>
      <selection pane="topRight" activeCell="Q5" sqref="Q5"/>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7.33203125" customWidth="1"/>
    <col min="7" max="7" width="11.6640625" customWidth="1"/>
    <col min="8" max="8" width="6" customWidth="1"/>
    <col min="9" max="9" width="6.5" customWidth="1"/>
    <col min="10" max="10" width="5" customWidth="1"/>
    <col min="11" max="14" width="6.5" customWidth="1"/>
    <col min="15" max="15" width="11.83203125" customWidth="1"/>
    <col min="16" max="16" width="6.5" customWidth="1"/>
    <col min="17" max="18" width="7.33203125" customWidth="1"/>
    <col min="19" max="19" width="1.1640625" style="43" customWidth="1"/>
    <col min="20" max="20" width="2.1640625" customWidth="1"/>
    <col min="21" max="21" width="54.33203125" customWidth="1"/>
    <col min="22" max="22" width="2.33203125" customWidth="1"/>
    <col min="23" max="23" width="12" customWidth="1"/>
    <col min="24" max="24" width="2.83203125" customWidth="1"/>
    <col min="25" max="26" width="9.33203125" customWidth="1"/>
    <col min="27" max="27" width="18.1640625" customWidth="1"/>
    <col min="28" max="28" width="1.1640625" style="17" customWidth="1"/>
    <col min="29" max="29" width="4.5" customWidth="1"/>
    <col min="30" max="30" width="2.33203125" style="17" customWidth="1"/>
    <col min="31" max="31" width="41.5" customWidth="1"/>
    <col min="32" max="32" width="8.1640625" customWidth="1"/>
    <col min="33" max="33" width="7.6640625" customWidth="1"/>
    <col min="34" max="34" width="17.33203125" customWidth="1"/>
    <col min="35" max="37" width="9.33203125" customWidth="1"/>
    <col min="38" max="38" width="9.33203125" style="17" customWidth="1"/>
    <col min="39" max="43" width="9.33203125" customWidth="1"/>
    <col min="44" max="44" width="9.5" customWidth="1"/>
  </cols>
  <sheetData>
    <row r="1" spans="1:40" s="110" customFormat="1" ht="72.75" customHeight="1" x14ac:dyDescent="0.2">
      <c r="A1" s="109"/>
      <c r="B1" s="154">
        <v>2024</v>
      </c>
      <c r="C1" s="154"/>
      <c r="D1" s="154"/>
      <c r="E1" s="154"/>
      <c r="F1" s="154"/>
      <c r="G1" s="154"/>
      <c r="H1" s="154"/>
      <c r="I1" s="154"/>
      <c r="J1" s="154"/>
      <c r="K1" s="154"/>
      <c r="L1" s="154"/>
      <c r="M1" s="154"/>
      <c r="N1" s="154"/>
      <c r="O1" s="154"/>
      <c r="P1" s="154"/>
      <c r="Q1" s="154"/>
      <c r="R1" s="154"/>
      <c r="T1" s="155" t="s">
        <v>0</v>
      </c>
      <c r="U1" s="156"/>
      <c r="V1" s="156"/>
      <c r="W1" s="156"/>
      <c r="X1" s="156"/>
      <c r="Y1" s="156"/>
      <c r="Z1" s="156"/>
      <c r="AA1" s="156"/>
      <c r="AB1" s="156"/>
      <c r="AC1" s="156"/>
      <c r="AD1" s="156"/>
      <c r="AE1" s="156"/>
      <c r="AF1" s="156"/>
      <c r="AG1" s="156"/>
      <c r="AH1" s="156"/>
      <c r="AI1" s="156"/>
      <c r="AJ1" s="156"/>
      <c r="AK1" s="156"/>
      <c r="AL1" s="156"/>
      <c r="AM1" s="156"/>
      <c r="AN1" s="156"/>
    </row>
    <row r="2" spans="1:40" ht="15" customHeight="1" x14ac:dyDescent="0.2">
      <c r="A2" s="46"/>
      <c r="B2" s="127" t="s">
        <v>1</v>
      </c>
      <c r="C2" s="127"/>
      <c r="D2" s="127"/>
      <c r="E2" s="127"/>
      <c r="F2" s="127"/>
      <c r="G2" s="127"/>
      <c r="H2" s="127"/>
      <c r="I2" s="127"/>
      <c r="J2" s="127"/>
      <c r="U2" s="62"/>
    </row>
    <row r="3" spans="1:40" ht="15" customHeight="1" x14ac:dyDescent="0.25">
      <c r="C3" s="5"/>
      <c r="D3" s="5"/>
      <c r="E3" s="5"/>
      <c r="F3" s="5"/>
      <c r="G3" s="5"/>
      <c r="H3" s="5"/>
      <c r="I3" s="5"/>
      <c r="J3" s="5"/>
      <c r="K3" s="5"/>
      <c r="L3" s="5"/>
      <c r="M3" s="5"/>
      <c r="N3" s="5"/>
      <c r="O3" s="5"/>
      <c r="P3" s="5"/>
      <c r="Q3" s="5"/>
      <c r="T3" s="20"/>
      <c r="U3" s="63" t="s">
        <v>32</v>
      </c>
      <c r="V3" s="5"/>
      <c r="W3" s="5"/>
      <c r="Y3" s="106" t="s">
        <v>159</v>
      </c>
      <c r="AE3" s="105" t="s">
        <v>160</v>
      </c>
    </row>
    <row r="4" spans="1:40" ht="15" customHeight="1" x14ac:dyDescent="0.25">
      <c r="A4" s="46"/>
      <c r="C4" s="157" t="s">
        <v>33</v>
      </c>
      <c r="D4" s="157"/>
      <c r="E4" s="157"/>
      <c r="F4" s="157"/>
      <c r="G4" s="157"/>
      <c r="H4" s="157"/>
      <c r="I4" s="157"/>
      <c r="J4" s="10"/>
      <c r="K4" s="157" t="s">
        <v>34</v>
      </c>
      <c r="L4" s="157"/>
      <c r="M4" s="157"/>
      <c r="N4" s="157"/>
      <c r="O4" s="157"/>
      <c r="P4" s="157"/>
      <c r="Q4" s="157"/>
      <c r="T4" s="20"/>
      <c r="U4" s="64" t="s">
        <v>35</v>
      </c>
      <c r="V4" s="5"/>
      <c r="W4" s="5"/>
    </row>
    <row r="5" spans="1:40" ht="15" customHeight="1"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2"/>
      <c r="V5" s="5"/>
      <c r="W5" s="5"/>
    </row>
    <row r="6" spans="1:40" ht="15" customHeight="1" x14ac:dyDescent="0.2">
      <c r="C6" s="7">
        <f>IF(DAY(SetDom1)=1,"",IF(AND(YEAR(SetDom1+1)=AnoDoCalendário,MONTH(SetDom1+1)=9),SetDom1+1,""))</f>
        <v>45536</v>
      </c>
      <c r="D6" s="7">
        <f>IF(DAY(SetDom1)=1,"",IF(AND(YEAR(SetDom1+2)=AnoDoCalendário,MONTH(SetDom1+2)=9),SetDom1+2,""))</f>
        <v>45537</v>
      </c>
      <c r="E6" s="7">
        <f>IF(DAY(SetDom1)=1,"",IF(AND(YEAR(SetDom1+3)=AnoDoCalendário,MONTH(SetDom1+3)=9),SetDom1+3,""))</f>
        <v>45538</v>
      </c>
      <c r="F6" s="7">
        <f>IF(DAY(SetDom1)=1,"",IF(AND(YEAR(SetDom1+4)=AnoDoCalendário,MONTH(SetDom1+4)=9),SetDom1+4,""))</f>
        <v>45539</v>
      </c>
      <c r="G6" s="7">
        <f>IF(DAY(SetDom1)=1,"",IF(AND(YEAR(SetDom1+5)=AnoDoCalendário,MONTH(SetDom1+5)=9),SetDom1+5,""))</f>
        <v>45540</v>
      </c>
      <c r="H6" s="44">
        <f>IF(DAY(SetDom1)=1,"",IF(AND(YEAR(SetDom1+6)=AnoDoCalendário,MONTH(SetDom1+6)=9),SetDom1+6,""))</f>
        <v>45541</v>
      </c>
      <c r="I6" s="44">
        <f>IF(DAY(SetDom1)=1,IF(AND(YEAR(SetDom1)=AnoDoCalendário,MONTH(SetDom1)=9),SetDom1,""),IF(AND(YEAR(SetDom1+7)=AnoDoCalendário,MONTH(SetDom1+7)=9),SetDom1+7,""))</f>
        <v>45542</v>
      </c>
      <c r="J6" s="5"/>
      <c r="K6" s="44" t="str">
        <f>IF(DAY(OutDom1)=1,"",IF(AND(YEAR(OutDom1+1)=AnoDoCalendário,MONTH(OutDom1+1)=10),OutDom1+1,""))</f>
        <v/>
      </c>
      <c r="L6" s="7" t="str">
        <f>IF(DAY(OutDom1)=1,"",IF(AND(YEAR(OutDom1+2)=AnoDoCalendário,MONTH(OutDom1+2)=10),OutDom1+2,""))</f>
        <v/>
      </c>
      <c r="M6" s="7">
        <f>IF(DAY(OutDom1)=1,"",IF(AND(YEAR(OutDom1+3)=AnoDoCalendário,MONTH(OutDom1+3)=10),OutDom1+3,""))</f>
        <v>45566</v>
      </c>
      <c r="N6" s="44">
        <f>IF(DAY(OutDom1)=1,"",IF(AND(YEAR(OutDom1+4)=AnoDoCalendário,MONTH(OutDom1+4)=10),OutDom1+4,""))</f>
        <v>45567</v>
      </c>
      <c r="O6" s="44">
        <f>IF(DAY(OutDom1)=1,"",IF(AND(YEAR(OutDom1+5)=AnoDoCalendário,MONTH(OutDom1+5)=10),OutDom1+5,""))</f>
        <v>45568</v>
      </c>
      <c r="P6" s="44">
        <f>IF(DAY(OutDom1)=1,"",IF(AND(YEAR(OutDom1+6)=AnoDoCalendário,MONTH(OutDom1+6)=10),OutDom1+6,""))</f>
        <v>45569</v>
      </c>
      <c r="Q6" s="7">
        <f>IF(DAY(OutDom1)=1,IF(AND(YEAR(OutDom1)=AnoDoCalendário,MONTH(OutDom1)=10),OutDom1,""),IF(AND(YEAR(OutDom1+7)=AnoDoCalendário,MONTH(OutDom1+7)=10),OutDom1+7,""))</f>
        <v>45570</v>
      </c>
      <c r="U6" s="11" t="s">
        <v>13</v>
      </c>
      <c r="W6" s="13" t="s">
        <v>14</v>
      </c>
      <c r="X6" s="13"/>
      <c r="Y6" s="13"/>
      <c r="Z6" s="13"/>
      <c r="AA6" s="13"/>
      <c r="AB6" s="66"/>
      <c r="AD6" s="40"/>
      <c r="AE6" s="58" t="s">
        <v>13</v>
      </c>
      <c r="AF6" s="47"/>
      <c r="AG6" s="47" t="s">
        <v>14</v>
      </c>
      <c r="AH6" s="47"/>
      <c r="AI6" s="47"/>
      <c r="AJ6" s="47"/>
      <c r="AK6" s="47"/>
    </row>
    <row r="7" spans="1:40" ht="15" customHeight="1" x14ac:dyDescent="0.2">
      <c r="C7" s="44">
        <f>IF(DAY(SetDom1)=1,IF(AND(YEAR(SetDom1+1)=AnoDoCalendário,MONTH(SetDom1+1)=9),SetDom1+1,""),IF(AND(YEAR(SetDom1+8)=AnoDoCalendário,MONTH(SetDom1+8)=9),SetDom1+8,""))</f>
        <v>45543</v>
      </c>
      <c r="D7" s="44">
        <f>IF(DAY(SetDom1)=1,IF(AND(YEAR(SetDom1+2)=AnoDoCalendário,MONTH(SetDom1+2)=9),SetDom1+2,""),IF(AND(YEAR(SetDom1+9)=AnoDoCalendário,MONTH(SetDom1+9)=9),SetDom1+9,""))</f>
        <v>45544</v>
      </c>
      <c r="E7" s="44">
        <f>IF(DAY(SetDom1)=1,IF(AND(YEAR(SetDom1+3)=AnoDoCalendário,MONTH(SetDom1+3)=9),SetDom1+3,""),IF(AND(YEAR(SetDom1+10)=AnoDoCalendário,MONTH(SetDom1+10)=9),SetDom1+10,""))</f>
        <v>45545</v>
      </c>
      <c r="F7" s="44">
        <f>IF(DAY(SetDom1)=1,IF(AND(YEAR(SetDom1+4)=AnoDoCalendário,MONTH(SetDom1+4)=9),SetDom1+4,""),IF(AND(YEAR(SetDom1+11)=AnoDoCalendário,MONTH(SetDom1+11)=9),SetDom1+11,""))</f>
        <v>45546</v>
      </c>
      <c r="G7" s="7">
        <f>IF(DAY(SetDom1)=1,IF(AND(YEAR(SetDom1+5)=AnoDoCalendário,MONTH(SetDom1+5)=9),SetDom1+5,""),IF(AND(YEAR(SetDom1+12)=AnoDoCalendário,MONTH(SetDom1+12)=9),SetDom1+12,""))</f>
        <v>45547</v>
      </c>
      <c r="H7" s="7">
        <f>IF(DAY(SetDom1)=1,IF(AND(YEAR(SetDom1+6)=AnoDoCalendário,MONTH(SetDom1+6)=9),SetDom1+6,""),IF(AND(YEAR(SetDom1+13)=AnoDoCalendário,MONTH(SetDom1+13)=9),SetDom1+13,""))</f>
        <v>45548</v>
      </c>
      <c r="I7" s="44">
        <f>IF(DAY(SetDom1)=1,IF(AND(YEAR(SetDom1+7)=AnoDoCalendário,MONTH(SetDom1+7)=9),SetDom1+7,""),IF(AND(YEAR(SetDom1+14)=AnoDoCalendário,MONTH(SetDom1+14)=9),SetDom1+14,""))</f>
        <v>45549</v>
      </c>
      <c r="J7" s="5"/>
      <c r="K7" s="7">
        <f>IF(DAY(OutDom1)=1,IF(AND(YEAR(OutDom1+1)=AnoDoCalendário,MONTH(OutDom1+1)=10),OutDom1+1,""),IF(AND(YEAR(OutDom1+8)=AnoDoCalendário,MONTH(OutDom1+8)=10),OutDom1+8,""))</f>
        <v>45571</v>
      </c>
      <c r="L7" s="44">
        <f>IF(DAY(OutDom1)=1,IF(AND(YEAR(OutDom1+2)=AnoDoCalendário,MONTH(OutDom1+2)=10),OutDom1+2,""),IF(AND(YEAR(OutDom1+9)=AnoDoCalendário,MONTH(OutDom1+9)=10),OutDom1+9,""))</f>
        <v>45572</v>
      </c>
      <c r="M7" s="7">
        <f>IF(DAY(OutDom1)=1,IF(AND(YEAR(OutDom1+3)=AnoDoCalendário,MONTH(OutDom1+3)=10),OutDom1+3,""),IF(AND(YEAR(OutDom1+10)=AnoDoCalendário,MONTH(OutDom1+10)=10),OutDom1+10,""))</f>
        <v>45573</v>
      </c>
      <c r="N7" s="44">
        <f>IF(DAY(OutDom1)=1,IF(AND(YEAR(OutDom1+4)=AnoDoCalendário,MONTH(OutDom1+4)=10),OutDom1+4,""),IF(AND(YEAR(OutDom1+11)=AnoDoCalendário,MONTH(OutDom1+11)=10),OutDom1+11,""))</f>
        <v>45574</v>
      </c>
      <c r="O7" s="44">
        <f>IF(DAY(OutDom1)=1,IF(AND(YEAR(OutDom1+5)=AnoDoCalendário,MONTH(OutDom1+5)=10),OutDom1+5,""),IF(AND(YEAR(OutDom1+12)=AnoDoCalendário,MONTH(OutDom1+12)=10),OutDom1+12,""))</f>
        <v>45575</v>
      </c>
      <c r="P7" s="44">
        <f>IF(DAY(OutDom1)=1,IF(AND(YEAR(OutDom1+6)=AnoDoCalendário,MONTH(OutDom1+6)=10),OutDom1+6,""),IF(AND(YEAR(OutDom1+13)=AnoDoCalendário,MONTH(OutDom1+13)=10),OutDom1+13,""))</f>
        <v>45576</v>
      </c>
      <c r="Q7" s="7">
        <f>IF(DAY(OutDom1)=1,IF(AND(YEAR(OutDom1+7)=AnoDoCalendário,MONTH(OutDom1+7)=10),OutDom1+7,""),IF(AND(YEAR(OutDom1+14)=AnoDoCalendário,MONTH(OutDom1+14)=10),OutDom1+14,""))</f>
        <v>45577</v>
      </c>
      <c r="U7" s="129" t="s">
        <v>36</v>
      </c>
      <c r="W7" s="132" t="s">
        <v>37</v>
      </c>
      <c r="X7" s="133"/>
      <c r="Y7" s="133"/>
      <c r="Z7" s="133"/>
      <c r="AA7" s="133"/>
      <c r="AB7" s="67"/>
      <c r="AD7" s="40"/>
      <c r="AE7" s="138"/>
      <c r="AF7" s="47"/>
      <c r="AG7" s="115"/>
      <c r="AH7" s="116"/>
      <c r="AI7" s="116"/>
      <c r="AJ7" s="116"/>
      <c r="AK7" s="117"/>
    </row>
    <row r="8" spans="1:40" ht="15" customHeight="1" x14ac:dyDescent="0.2">
      <c r="C8" s="7">
        <f>IF(DAY(SetDom1)=1,IF(AND(YEAR(SetDom1+8)=AnoDoCalendário,MONTH(SetDom1+8)=9),SetDom1+8,""),IF(AND(YEAR(SetDom1+15)=AnoDoCalendário,MONTH(SetDom1+15)=9),SetDom1+15,""))</f>
        <v>45550</v>
      </c>
      <c r="D8" s="7">
        <f>IF(DAY(SetDom1)=1,IF(AND(YEAR(SetDom1+9)=AnoDoCalendário,MONTH(SetDom1+9)=9),SetDom1+9,""),IF(AND(YEAR(SetDom1+16)=AnoDoCalendário,MONTH(SetDom1+16)=9),SetDom1+16,""))</f>
        <v>45551</v>
      </c>
      <c r="E8" s="44">
        <f>IF(DAY(SetDom1)=1,IF(AND(YEAR(SetDom1+10)=AnoDoCalendário,MONTH(SetDom1+10)=9),SetDom1+10,""),IF(AND(YEAR(SetDom1+17)=AnoDoCalendário,MONTH(SetDom1+17)=9),SetDom1+17,""))</f>
        <v>45552</v>
      </c>
      <c r="F8" s="44">
        <f>IF(DAY(SetDom1)=1,IF(AND(YEAR(SetDom1+11)=AnoDoCalendário,MONTH(SetDom1+11)=9),SetDom1+11,""),IF(AND(YEAR(SetDom1+18)=AnoDoCalendário,MONTH(SetDom1+18)=9),SetDom1+18,""))</f>
        <v>45553</v>
      </c>
      <c r="G8" s="7">
        <f>IF(DAY(SetDom1)=1,IF(AND(YEAR(SetDom1+12)=AnoDoCalendário,MONTH(SetDom1+12)=9),SetDom1+12,""),IF(AND(YEAR(SetDom1+19)=AnoDoCalendário,MONTH(SetDom1+19)=9),SetDom1+19,""))</f>
        <v>45554</v>
      </c>
      <c r="H8" s="44">
        <f>IF(DAY(SetDom1)=1,IF(AND(YEAR(SetDom1+13)=AnoDoCalendário,MONTH(SetDom1+13)=9),SetDom1+13,""),IF(AND(YEAR(SetDom1+20)=AnoDoCalendário,MONTH(SetDom1+20)=9),SetDom1+20,""))</f>
        <v>45555</v>
      </c>
      <c r="I8" s="44">
        <f>IF(DAY(SetDom1)=1,IF(AND(YEAR(SetDom1+14)=AnoDoCalendário,MONTH(SetDom1+14)=9),SetDom1+14,""),IF(AND(YEAR(SetDom1+21)=AnoDoCalendário,MONTH(SetDom1+21)=9),SetDom1+21,""))</f>
        <v>45556</v>
      </c>
      <c r="J8" s="5"/>
      <c r="K8" s="44">
        <f>IF(DAY(OutDom1)=1,IF(AND(YEAR(OutDom1+8)=AnoDoCalendário,MONTH(OutDom1+8)=10),OutDom1+8,""),IF(AND(YEAR(OutDom1+15)=AnoDoCalendário,MONTH(OutDom1+15)=10),OutDom1+15,""))</f>
        <v>45578</v>
      </c>
      <c r="L8" s="44">
        <f>IF(DAY(OutDom1)=1,IF(AND(YEAR(OutDom1+9)=AnoDoCalendário,MONTH(OutDom1+9)=10),OutDom1+9,""),IF(AND(YEAR(OutDom1+16)=AnoDoCalendário,MONTH(OutDom1+16)=10),OutDom1+16,""))</f>
        <v>45579</v>
      </c>
      <c r="M8" s="44">
        <f>IF(DAY(OutDom1)=1,IF(AND(YEAR(OutDom1+10)=AnoDoCalendário,MONTH(OutDom1+10)=10),OutDom1+10,""),IF(AND(YEAR(OutDom1+17)=AnoDoCalendário,MONTH(OutDom1+17)=10),OutDom1+17,""))</f>
        <v>45580</v>
      </c>
      <c r="N8" s="44">
        <f>IF(DAY(OutDom1)=1,IF(AND(YEAR(OutDom1+11)=AnoDoCalendário,MONTH(OutDom1+11)=10),OutDom1+11,""),IF(AND(YEAR(OutDom1+18)=AnoDoCalendário,MONTH(OutDom1+18)=10),OutDom1+18,""))</f>
        <v>45581</v>
      </c>
      <c r="O8" s="7">
        <f>IF(DAY(OutDom1)=1,IF(AND(YEAR(OutDom1+12)=AnoDoCalendário,MONTH(OutDom1+12)=10),OutDom1+12,""),IF(AND(YEAR(OutDom1+19)=AnoDoCalendário,MONTH(OutDom1+19)=10),OutDom1+19,""))</f>
        <v>45582</v>
      </c>
      <c r="P8" s="7">
        <f>IF(DAY(OutDom1)=1,IF(AND(YEAR(OutDom1+13)=AnoDoCalendário,MONTH(OutDom1+13)=10),OutDom1+13,""),IF(AND(YEAR(OutDom1+20)=AnoDoCalendário,MONTH(OutDom1+20)=10),OutDom1+20,""))</f>
        <v>45583</v>
      </c>
      <c r="Q8" s="7">
        <f>IF(DAY(OutDom1)=1,IF(AND(YEAR(OutDom1+14)=AnoDoCalendário,MONTH(OutDom1+14)=10),OutDom1+14,""),IF(AND(YEAR(OutDom1+21)=AnoDoCalendário,MONTH(OutDom1+21)=10),OutDom1+21,""))</f>
        <v>45584</v>
      </c>
      <c r="U8" s="130"/>
      <c r="W8" s="134"/>
      <c r="X8" s="135"/>
      <c r="Y8" s="135"/>
      <c r="Z8" s="135"/>
      <c r="AA8" s="135"/>
      <c r="AB8" s="68"/>
      <c r="AD8" s="40"/>
      <c r="AE8" s="139"/>
      <c r="AF8" s="47"/>
      <c r="AG8" s="118"/>
      <c r="AH8" s="119"/>
      <c r="AI8" s="119"/>
      <c r="AJ8" s="119"/>
      <c r="AK8" s="120"/>
    </row>
    <row r="9" spans="1:40" ht="15" x14ac:dyDescent="0.2">
      <c r="A9" s="46"/>
      <c r="C9" s="7">
        <f>IF(DAY(SetDom1)=1,IF(AND(YEAR(SetDom1+15)=AnoDoCalendário,MONTH(SetDom1+15)=9),SetDom1+15,""),IF(AND(YEAR(SetDom1+22)=AnoDoCalendário,MONTH(SetDom1+22)=9),SetDom1+22,""))</f>
        <v>45557</v>
      </c>
      <c r="D9" s="44">
        <f>IF(DAY(SetDom1)=1,IF(AND(YEAR(SetDom1+16)=AnoDoCalendário,MONTH(SetDom1+16)=9),SetDom1+16,""),IF(AND(YEAR(SetDom1+23)=AnoDoCalendário,MONTH(SetDom1+23)=9),SetDom1+23,""))</f>
        <v>45558</v>
      </c>
      <c r="E9" s="44">
        <f>IF(DAY(SetDom1)=1,IF(AND(YEAR(SetDom1+17)=AnoDoCalendário,MONTH(SetDom1+17)=9),SetDom1+17,""),IF(AND(YEAR(SetDom1+24)=AnoDoCalendário,MONTH(SetDom1+24)=9),SetDom1+24,""))</f>
        <v>45559</v>
      </c>
      <c r="F9" s="7">
        <f>IF(DAY(SetDom1)=1,IF(AND(YEAR(SetDom1+18)=AnoDoCalendário,MONTH(SetDom1+18)=9),SetDom1+18,""),IF(AND(YEAR(SetDom1+25)=AnoDoCalendário,MONTH(SetDom1+25)=9),SetDom1+25,""))</f>
        <v>45560</v>
      </c>
      <c r="G9" s="44">
        <f>IF(DAY(SetDom1)=1,IF(AND(YEAR(SetDom1+19)=AnoDoCalendário,MONTH(SetDom1+19)=9),SetDom1+19,""),IF(AND(YEAR(SetDom1+26)=AnoDoCalendário,MONTH(SetDom1+26)=9),SetDom1+26,""))</f>
        <v>45561</v>
      </c>
      <c r="H9" s="44">
        <f>IF(DAY(SetDom1)=1,IF(AND(YEAR(SetDom1+20)=AnoDoCalendário,MONTH(SetDom1+20)=9),SetDom1+20,""),IF(AND(YEAR(SetDom1+27)=AnoDoCalendário,MONTH(SetDom1+27)=9),SetDom1+27,""))</f>
        <v>45562</v>
      </c>
      <c r="I9" s="44">
        <f>IF(DAY(SetDom1)=1,IF(AND(YEAR(SetDom1+21)=AnoDoCalendário,MONTH(SetDom1+21)=9),SetDom1+21,""),IF(AND(YEAR(SetDom1+28)=AnoDoCalendário,MONTH(SetDom1+28)=9),SetDom1+28,""))</f>
        <v>45563</v>
      </c>
      <c r="J9" s="5"/>
      <c r="K9" s="7">
        <f>IF(DAY(OutDom1)=1,IF(AND(YEAR(OutDom1+15)=AnoDoCalendário,MONTH(OutDom1+15)=10),OutDom1+15,""),IF(AND(YEAR(OutDom1+22)=AnoDoCalendário,MONTH(OutDom1+22)=10),OutDom1+22,""))</f>
        <v>45585</v>
      </c>
      <c r="L9" s="7">
        <f>IF(DAY(OutDom1)=1,IF(AND(YEAR(OutDom1+16)=AnoDoCalendário,MONTH(OutDom1+16)=10),OutDom1+16,""),IF(AND(YEAR(OutDom1+23)=AnoDoCalendário,MONTH(OutDom1+23)=10),OutDom1+23,""))</f>
        <v>45586</v>
      </c>
      <c r="M9" s="7">
        <f>IF(DAY(OutDom1)=1,IF(AND(YEAR(OutDom1+17)=AnoDoCalendário,MONTH(OutDom1+17)=10),OutDom1+17,""),IF(AND(YEAR(OutDom1+24)=AnoDoCalendário,MONTH(OutDom1+24)=10),OutDom1+24,""))</f>
        <v>45587</v>
      </c>
      <c r="N9" s="44">
        <f>IF(DAY(OutDom1)=1,IF(AND(YEAR(OutDom1+18)=AnoDoCalendário,MONTH(OutDom1+18)=10),OutDom1+18,""),IF(AND(YEAR(OutDom1+25)=AnoDoCalendário,MONTH(OutDom1+25)=10),OutDom1+25,""))</f>
        <v>45588</v>
      </c>
      <c r="O9" s="7">
        <f>IF(DAY(OutDom1)=1,IF(AND(YEAR(OutDom1+19)=AnoDoCalendário,MONTH(OutDom1+19)=10),OutDom1+19,""),IF(AND(YEAR(OutDom1+26)=AnoDoCalendário,MONTH(OutDom1+26)=10),OutDom1+26,""))</f>
        <v>45589</v>
      </c>
      <c r="P9" s="7">
        <f>IF(DAY(OutDom1)=1,IF(AND(YEAR(OutDom1+20)=AnoDoCalendário,MONTH(OutDom1+20)=10),OutDom1+20,""),IF(AND(YEAR(OutDom1+27)=AnoDoCalendário,MONTH(OutDom1+27)=10),OutDom1+27,""))</f>
        <v>45590</v>
      </c>
      <c r="Q9" s="7">
        <f>IF(DAY(OutDom1)=1,IF(AND(YEAR(OutDom1+21)=AnoDoCalendário,MONTH(OutDom1+21)=10),OutDom1+21,""),IF(AND(YEAR(OutDom1+28)=AnoDoCalendário,MONTH(OutDom1+28)=10),OutDom1+28,""))</f>
        <v>45591</v>
      </c>
      <c r="U9" s="130"/>
      <c r="W9" s="134"/>
      <c r="X9" s="135"/>
      <c r="Y9" s="135"/>
      <c r="Z9" s="135"/>
      <c r="AA9" s="135"/>
      <c r="AB9" s="68"/>
      <c r="AD9" s="40"/>
      <c r="AE9" s="139"/>
      <c r="AF9" s="47"/>
      <c r="AG9" s="118"/>
      <c r="AH9" s="119"/>
      <c r="AI9" s="119"/>
      <c r="AJ9" s="119"/>
      <c r="AK9" s="120"/>
    </row>
    <row r="10" spans="1:40" ht="15" x14ac:dyDescent="0.2">
      <c r="A10" s="46"/>
      <c r="C10" s="7">
        <f>IF(DAY(SetDom1)=1,IF(AND(YEAR(SetDom1+22)=AnoDoCalendário,MONTH(SetDom1+22)=9),SetDom1+22,""),IF(AND(YEAR(SetDom1+29)=AnoDoCalendário,MONTH(SetDom1+29)=9),SetDom1+29,""))</f>
        <v>45564</v>
      </c>
      <c r="D10" s="44">
        <f>IF(DAY(SetDom1)=1,IF(AND(YEAR(SetDom1+23)=AnoDoCalendário,MONTH(SetDom1+23)=9),SetDom1+23,""),IF(AND(YEAR(SetDom1+30)=AnoDoCalendário,MONTH(SetDom1+30)=9),SetDom1+30,""))</f>
        <v>45565</v>
      </c>
      <c r="E10" s="44" t="str">
        <f>IF(DAY(SetDom1)=1,IF(AND(YEAR(SetDom1+24)=AnoDoCalendário,MONTH(SetDom1+24)=9),SetDom1+24,""),IF(AND(YEAR(SetDom1+31)=AnoDoCalendário,MONTH(SetDom1+31)=9),SetDom1+31,""))</f>
        <v/>
      </c>
      <c r="F10" s="44" t="str">
        <f>IF(DAY(SetDom1)=1,IF(AND(YEAR(SetDom1+25)=AnoDoCalendário,MONTH(SetDom1+25)=9),SetDom1+25,""),IF(AND(YEAR(SetDom1+32)=AnoDoCalendário,MONTH(SetDom1+32)=9),SetDom1+32,""))</f>
        <v/>
      </c>
      <c r="G10" s="7" t="str">
        <f>IF(DAY(SetDom1)=1,IF(AND(YEAR(SetDom1+26)=AnoDoCalendário,MONTH(SetDom1+26)=9),SetDom1+26,""),IF(AND(YEAR(SetDom1+33)=AnoDoCalendário,MONTH(SetDom1+33)=9),SetDom1+33,""))</f>
        <v/>
      </c>
      <c r="H10" s="7" t="str">
        <f>IF(DAY(SetDom1)=1,IF(AND(YEAR(SetDom1+27)=AnoDoCalendário,MONTH(SetDom1+27)=9),SetDom1+27,""),IF(AND(YEAR(SetDom1+34)=AnoDoCalendário,MONTH(SetDom1+34)=9),SetDom1+34,""))</f>
        <v/>
      </c>
      <c r="I10" s="44" t="str">
        <f>IF(DAY(SetDom1)=1,IF(AND(YEAR(SetDom1+28)=AnoDoCalendário,MONTH(SetDom1+28)=9),SetDom1+28,""),IF(AND(YEAR(SetDom1+35)=AnoDoCalendário,MONTH(SetDom1+35)=9),SetDom1+35,""))</f>
        <v/>
      </c>
      <c r="J10" s="5"/>
      <c r="K10" s="7">
        <f>IF(DAY(OutDom1)=1,IF(AND(YEAR(OutDom1+22)=AnoDoCalendário,MONTH(OutDom1+22)=10),OutDom1+22,""),IF(AND(YEAR(OutDom1+29)=AnoDoCalendário,MONTH(OutDom1+29)=10),OutDom1+29,""))</f>
        <v>45592</v>
      </c>
      <c r="L10" s="44">
        <f>IF(DAY(OutDom1)=1,IF(AND(YEAR(OutDom1+23)=AnoDoCalendário,MONTH(OutDom1+23)=10),OutDom1+23,""),IF(AND(YEAR(OutDom1+30)=AnoDoCalendário,MONTH(OutDom1+30)=10),OutDom1+30,""))</f>
        <v>45593</v>
      </c>
      <c r="M10" s="44">
        <f>IF(DAY(OutDom1)=1,IF(AND(YEAR(OutDom1+24)=AnoDoCalendário,MONTH(OutDom1+24)=10),OutDom1+24,""),IF(AND(YEAR(OutDom1+31)=AnoDoCalendário,MONTH(OutDom1+31)=10),OutDom1+31,""))</f>
        <v>45594</v>
      </c>
      <c r="N10" s="7">
        <f>IF(DAY(OutDom1)=1,IF(AND(YEAR(OutDom1+25)=AnoDoCalendário,MONTH(OutDom1+25)=10),OutDom1+25,""),IF(AND(YEAR(OutDom1+32)=AnoDoCalendário,MONTH(OutDom1+32)=10),OutDom1+32,""))</f>
        <v>45595</v>
      </c>
      <c r="O10" s="7">
        <f>IF(DAY(OutDom1)=1,IF(AND(YEAR(OutDom1+26)=AnoDoCalendário,MONTH(OutDom1+26)=10),OutDom1+26,""),IF(AND(YEAR(OutDom1+33)=AnoDoCalendário,MONTH(OutDom1+33)=10),OutDom1+33,""))</f>
        <v>45596</v>
      </c>
      <c r="P10" s="7" t="str">
        <f>IF(DAY(OutDom1)=1,IF(AND(YEAR(OutDom1+27)=AnoDoCalendário,MONTH(OutDom1+27)=10),OutDom1+27,""),IF(AND(YEAR(OutDom1+34)=AnoDoCalendário,MONTH(OutDom1+34)=10),OutDom1+34,""))</f>
        <v/>
      </c>
      <c r="Q10" s="72" t="str">
        <f>IF(DAY(OutDom1)=1,IF(AND(YEAR(OutDom1+28)=AnoDoCalendário,MONTH(OutDom1+28)=10),OutDom1+28,""),IF(AND(YEAR(OutDom1+35)=AnoDoCalendário,MONTH(OutDom1+35)=10),OutDom1+35,""))</f>
        <v/>
      </c>
      <c r="U10" s="130"/>
      <c r="W10" s="134"/>
      <c r="X10" s="135"/>
      <c r="Y10" s="135"/>
      <c r="Z10" s="135"/>
      <c r="AA10" s="135"/>
      <c r="AB10" s="68"/>
      <c r="AD10" s="40"/>
      <c r="AE10" s="139"/>
      <c r="AF10" s="47"/>
      <c r="AG10" s="118"/>
      <c r="AH10" s="119"/>
      <c r="AI10" s="119"/>
      <c r="AJ10" s="119"/>
      <c r="AK10" s="120"/>
    </row>
    <row r="11" spans="1:40" ht="15" x14ac:dyDescent="0.2">
      <c r="A11" s="46"/>
      <c r="C11" s="7" t="str">
        <f>IF(DAY(SetDom1)=1,IF(AND(YEAR(SetDom1+29)=AnoDoCalendário,MONTH(SetDom1+29)=9),SetDom1+29,""),IF(AND(YEAR(SetDom1+36)=AnoDoCalendário,MONTH(SetDom1+36)=9),SetDom1+36,""))</f>
        <v/>
      </c>
      <c r="D11" s="7" t="str">
        <f>IF(DAY(SetDom1)=1,IF(AND(YEAR(SetDom1+30)=AnoDoCalendário,MONTH(SetDom1+30)=9),SetDom1+30,""),IF(AND(YEAR(SetDom1+37)=AnoDoCalendário,MONTH(SetDom1+37)=9),SetDom1+37,""))</f>
        <v/>
      </c>
      <c r="E11" s="7" t="str">
        <f>IF(DAY(SetDom1)=1,IF(AND(YEAR(SetDom1+31)=AnoDoCalendário,MONTH(SetDom1+31)=9),SetDom1+31,""),IF(AND(YEAR(SetDom1+38)=AnoDoCalendário,MONTH(SetDom1+38)=9),SetDom1+38,""))</f>
        <v/>
      </c>
      <c r="F11" s="7" t="str">
        <f>IF(DAY(SetDom1)=1,IF(AND(YEAR(SetDom1+32)=AnoDoCalendário,MONTH(SetDom1+32)=9),SetDom1+32,""),IF(AND(YEAR(SetDom1+39)=AnoDoCalendário,MONTH(SetDom1+39)=9),SetDom1+39,""))</f>
        <v/>
      </c>
      <c r="G11" s="7" t="str">
        <f>IF(DAY(SetDom1)=1,IF(AND(YEAR(SetDom1+33)=AnoDoCalendário,MONTH(SetDom1+33)=9),SetDom1+33,""),IF(AND(YEAR(SetDom1+40)=AnoDoCalendário,MONTH(SetDom1+40)=9),SetDom1+40,""))</f>
        <v/>
      </c>
      <c r="H11" s="7" t="str">
        <f>IF(DAY(SetDom1)=1,IF(AND(YEAR(SetDom1+34)=AnoDoCalendário,MONTH(SetDom1+34)=9),SetDom1+34,""),IF(AND(YEAR(SetDom1+41)=AnoDoCalendário,MONTH(SetDom1+41)=9),SetDom1+41,""))</f>
        <v/>
      </c>
      <c r="I11" s="7" t="str">
        <f>IF(DAY(SetDom1)=1,IF(AND(YEAR(SetDom1+35)=AnoDoCalendário,MONTH(SetDom1+35)=9),SetDom1+35,""),IF(AND(YEAR(SetDom1+42)=AnoDoCalendário,MONTH(SetDom1+42)=9),SetDom1+42,""))</f>
        <v/>
      </c>
      <c r="J11" s="5"/>
      <c r="K11" s="7" t="str">
        <f>IF(DAY(OutDom1)=1,IF(AND(YEAR(OutDom1+29)=AnoDoCalendário,MONTH(OutDom1+29)=10),OutDom1+29,""),IF(AND(YEAR(OutDom1+36)=AnoDoCalendário,MONTH(OutDom1+36)=10),OutDom1+36,""))</f>
        <v/>
      </c>
      <c r="L11" s="7" t="str">
        <f>IF(DAY(OutDom1)=1,IF(AND(YEAR(OutDom1+30)=AnoDoCalendário,MONTH(OutDom1+30)=10),OutDom1+30,""),IF(AND(YEAR(OutDom1+37)=AnoDoCalendário,MONTH(OutDom1+37)=10),OutDom1+37,""))</f>
        <v/>
      </c>
      <c r="M11" s="7" t="str">
        <f>IF(DAY(OutDom1)=1,IF(AND(YEAR(OutDom1+31)=AnoDoCalendário,MONTH(OutDom1+31)=10),OutDom1+31,""),IF(AND(YEAR(OutDom1+38)=AnoDoCalendário,MONTH(OutDom1+38)=10),OutDom1+38,""))</f>
        <v/>
      </c>
      <c r="N11" s="7" t="str">
        <f>IF(DAY(OutDom1)=1,IF(AND(YEAR(OutDom1+32)=AnoDoCalendário,MONTH(OutDom1+32)=10),OutDom1+32,""),IF(AND(YEAR(OutDom1+39)=AnoDoCalendário,MONTH(OutDom1+39)=10),OutDom1+39,""))</f>
        <v/>
      </c>
      <c r="O11" s="7" t="str">
        <f>IF(DAY(OutDom1)=1,IF(AND(YEAR(OutDom1+33)=AnoDoCalendário,MONTH(OutDom1+33)=10),OutDom1+33,""),IF(AND(YEAR(OutDom1+40)=AnoDoCalendário,MONTH(OutDom1+40)=10),OutDom1+40,""))</f>
        <v/>
      </c>
      <c r="P11" s="7" t="str">
        <f>IF(DAY(OutDom1)=1,IF(AND(YEAR(OutDom1+34)=AnoDoCalendário,MONTH(OutDom1+34)=10),OutDom1+34,""),IF(AND(YEAR(OutDom1+41)=AnoDoCalendário,MONTH(OutDom1+41)=10),OutDom1+41,""))</f>
        <v/>
      </c>
      <c r="Q11" s="7" t="str">
        <f>IF(DAY(OutDom1)=1,IF(AND(YEAR(OutDom1+35)=AnoDoCalendário,MONTH(OutDom1+35)=10),OutDom1+35,""),IF(AND(YEAR(OutDom1+42)=AnoDoCalendário,MONTH(OutDom1+42)=10),OutDom1+42,""))</f>
        <v/>
      </c>
      <c r="U11" s="131"/>
      <c r="W11" s="136"/>
      <c r="X11" s="137"/>
      <c r="Y11" s="137"/>
      <c r="Z11" s="137"/>
      <c r="AA11" s="137"/>
      <c r="AB11" s="69"/>
      <c r="AD11" s="40"/>
      <c r="AE11" s="140"/>
      <c r="AF11" s="47"/>
      <c r="AG11" s="121"/>
      <c r="AH11" s="122"/>
      <c r="AI11" s="122"/>
      <c r="AJ11" s="122"/>
      <c r="AK11" s="123"/>
    </row>
    <row r="12" spans="1:40" ht="15" x14ac:dyDescent="0.2">
      <c r="A12" s="48"/>
      <c r="B12" s="22"/>
      <c r="C12" s="22"/>
      <c r="D12" s="22"/>
      <c r="E12" s="22"/>
      <c r="F12" s="22"/>
      <c r="G12" s="22"/>
      <c r="H12" s="22"/>
      <c r="I12" s="22"/>
      <c r="J12" s="23"/>
      <c r="K12" s="22"/>
      <c r="L12" s="22"/>
      <c r="M12" s="22"/>
      <c r="N12" s="22"/>
      <c r="O12" s="22"/>
      <c r="P12" s="22"/>
      <c r="Q12" s="22"/>
      <c r="R12" s="22"/>
      <c r="U12" s="1"/>
      <c r="AD12" s="40"/>
      <c r="AE12" s="59"/>
      <c r="AF12" s="47"/>
      <c r="AG12" s="47"/>
      <c r="AH12" s="47"/>
      <c r="AI12" s="47"/>
      <c r="AJ12" s="47"/>
      <c r="AK12" s="47"/>
    </row>
    <row r="13" spans="1:40" ht="15" x14ac:dyDescent="0.2">
      <c r="A13" s="46"/>
      <c r="C13" s="142"/>
      <c r="D13" s="142"/>
      <c r="E13" s="142"/>
      <c r="F13" s="142"/>
      <c r="G13" s="142"/>
      <c r="H13" s="142"/>
      <c r="I13" s="142"/>
      <c r="J13" s="5"/>
      <c r="K13" s="142"/>
      <c r="L13" s="142"/>
      <c r="M13" s="142"/>
      <c r="N13" s="142"/>
      <c r="O13" s="142"/>
      <c r="P13" s="142"/>
      <c r="Q13" s="142"/>
      <c r="U13" s="12" t="s">
        <v>17</v>
      </c>
      <c r="W13" s="12" t="s">
        <v>18</v>
      </c>
      <c r="X13" s="12"/>
      <c r="Y13" s="12"/>
      <c r="Z13" s="12"/>
      <c r="AA13" s="12"/>
      <c r="AB13" s="18"/>
      <c r="AD13" s="40"/>
      <c r="AE13" s="47" t="s">
        <v>17</v>
      </c>
      <c r="AF13" s="47"/>
      <c r="AG13" s="47" t="s">
        <v>18</v>
      </c>
      <c r="AH13" s="47"/>
      <c r="AI13" s="47"/>
      <c r="AJ13" s="47"/>
      <c r="AK13" s="47"/>
    </row>
    <row r="14" spans="1:40" ht="15" customHeight="1" x14ac:dyDescent="0.2">
      <c r="A14" s="46"/>
      <c r="C14" s="26" t="s">
        <v>19</v>
      </c>
      <c r="D14" s="27"/>
      <c r="E14" s="27"/>
      <c r="F14" s="27"/>
      <c r="G14" s="27" t="s">
        <v>20</v>
      </c>
      <c r="H14" s="28"/>
      <c r="I14" s="28" t="s">
        <v>21</v>
      </c>
      <c r="J14" s="5"/>
      <c r="K14" s="3"/>
      <c r="L14" s="26" t="s">
        <v>19</v>
      </c>
      <c r="M14" s="27"/>
      <c r="N14" s="27"/>
      <c r="O14" s="27" t="s">
        <v>20</v>
      </c>
      <c r="P14" s="27"/>
      <c r="Q14" s="28" t="s">
        <v>21</v>
      </c>
      <c r="U14" s="143" t="s">
        <v>22</v>
      </c>
      <c r="W14" s="132" t="s">
        <v>23</v>
      </c>
      <c r="X14" s="146"/>
      <c r="Y14" s="146"/>
      <c r="Z14" s="146"/>
      <c r="AA14" s="146"/>
      <c r="AB14" s="67"/>
      <c r="AD14" s="40"/>
      <c r="AE14" s="151"/>
      <c r="AF14" s="47"/>
      <c r="AG14" s="115"/>
      <c r="AH14" s="116"/>
      <c r="AI14" s="116"/>
      <c r="AJ14" s="116"/>
      <c r="AK14" s="117"/>
    </row>
    <row r="15" spans="1:40" ht="15" customHeight="1" x14ac:dyDescent="0.2">
      <c r="A15" s="46"/>
      <c r="C15" s="29" t="s">
        <v>38</v>
      </c>
      <c r="D15" s="30"/>
      <c r="E15" s="30"/>
      <c r="F15" s="30"/>
      <c r="G15" s="89">
        <v>45536</v>
      </c>
      <c r="H15" s="92"/>
      <c r="I15" s="73" t="s">
        <v>24</v>
      </c>
      <c r="J15" s="5"/>
      <c r="K15" s="7"/>
      <c r="L15" s="29" t="s">
        <v>96</v>
      </c>
      <c r="M15" s="30"/>
      <c r="N15" s="30"/>
      <c r="O15" s="90">
        <v>45566</v>
      </c>
      <c r="P15" s="90"/>
      <c r="Q15" s="73" t="s">
        <v>24</v>
      </c>
      <c r="U15" s="144"/>
      <c r="W15" s="147"/>
      <c r="X15" s="148"/>
      <c r="Y15" s="148"/>
      <c r="Z15" s="148"/>
      <c r="AA15" s="148"/>
      <c r="AB15" s="68"/>
      <c r="AD15" s="40"/>
      <c r="AE15" s="152"/>
      <c r="AF15" s="47"/>
      <c r="AG15" s="118"/>
      <c r="AH15" s="119"/>
      <c r="AI15" s="119"/>
      <c r="AJ15" s="119"/>
      <c r="AK15" s="120"/>
    </row>
    <row r="16" spans="1:40" ht="15" customHeight="1" x14ac:dyDescent="0.2">
      <c r="A16" s="46"/>
      <c r="C16" s="32" t="s">
        <v>39</v>
      </c>
      <c r="D16" s="33"/>
      <c r="E16" s="33"/>
      <c r="F16" s="33"/>
      <c r="G16" s="93">
        <v>45537</v>
      </c>
      <c r="H16" s="94"/>
      <c r="I16" s="73" t="s">
        <v>24</v>
      </c>
      <c r="J16" s="5"/>
      <c r="K16" s="7"/>
      <c r="L16" s="32" t="s">
        <v>97</v>
      </c>
      <c r="M16" s="33"/>
      <c r="N16" s="33"/>
      <c r="O16" s="91">
        <v>45567</v>
      </c>
      <c r="P16" s="91"/>
      <c r="Q16" s="73" t="s">
        <v>24</v>
      </c>
      <c r="U16" s="144"/>
      <c r="W16" s="147"/>
      <c r="X16" s="148"/>
      <c r="Y16" s="148"/>
      <c r="Z16" s="148"/>
      <c r="AA16" s="148"/>
      <c r="AB16" s="68"/>
      <c r="AD16" s="40"/>
      <c r="AE16" s="152"/>
      <c r="AF16" s="47"/>
      <c r="AG16" s="118"/>
      <c r="AH16" s="119"/>
      <c r="AI16" s="119"/>
      <c r="AJ16" s="119"/>
      <c r="AK16" s="120"/>
    </row>
    <row r="17" spans="1:38" ht="15" customHeight="1" x14ac:dyDescent="0.2">
      <c r="C17" s="29" t="s">
        <v>40</v>
      </c>
      <c r="D17" s="30"/>
      <c r="E17" s="30"/>
      <c r="F17" s="30"/>
      <c r="G17" s="95">
        <v>45538</v>
      </c>
      <c r="H17" s="96"/>
      <c r="I17" s="73" t="s">
        <v>24</v>
      </c>
      <c r="J17" s="5"/>
      <c r="K17" s="7"/>
      <c r="L17" s="29" t="s">
        <v>98</v>
      </c>
      <c r="M17" s="30"/>
      <c r="N17" s="30"/>
      <c r="O17" s="90">
        <v>45568</v>
      </c>
      <c r="P17" s="90"/>
      <c r="Q17" s="73" t="s">
        <v>24</v>
      </c>
      <c r="U17" s="144"/>
      <c r="W17" s="147"/>
      <c r="X17" s="148"/>
      <c r="Y17" s="148"/>
      <c r="Z17" s="148"/>
      <c r="AA17" s="148"/>
      <c r="AB17" s="68"/>
      <c r="AD17" s="40"/>
      <c r="AE17" s="152"/>
      <c r="AF17" s="47"/>
      <c r="AG17" s="118"/>
      <c r="AH17" s="119"/>
      <c r="AI17" s="119"/>
      <c r="AJ17" s="119"/>
      <c r="AK17" s="120"/>
    </row>
    <row r="18" spans="1:38" ht="15" customHeight="1" x14ac:dyDescent="0.2">
      <c r="C18" s="32" t="s">
        <v>41</v>
      </c>
      <c r="D18" s="33"/>
      <c r="E18" s="33"/>
      <c r="F18" s="33"/>
      <c r="G18" s="93">
        <v>45539</v>
      </c>
      <c r="H18" s="94"/>
      <c r="I18" s="73" t="s">
        <v>24</v>
      </c>
      <c r="J18" s="5"/>
      <c r="K18" s="7"/>
      <c r="L18" s="32" t="s">
        <v>99</v>
      </c>
      <c r="M18" s="33"/>
      <c r="N18" s="33"/>
      <c r="O18" s="91">
        <v>45569</v>
      </c>
      <c r="P18" s="91"/>
      <c r="Q18" s="73" t="s">
        <v>24</v>
      </c>
      <c r="U18" s="144"/>
      <c r="W18" s="147"/>
      <c r="X18" s="148"/>
      <c r="Y18" s="148"/>
      <c r="Z18" s="148"/>
      <c r="AA18" s="148"/>
      <c r="AB18" s="68"/>
      <c r="AD18" s="40"/>
      <c r="AE18" s="152"/>
      <c r="AF18" s="47"/>
      <c r="AG18" s="118"/>
      <c r="AH18" s="119"/>
      <c r="AI18" s="119"/>
      <c r="AJ18" s="119"/>
      <c r="AK18" s="120"/>
    </row>
    <row r="19" spans="1:38" ht="15" customHeight="1" x14ac:dyDescent="0.2">
      <c r="C19" s="29" t="s">
        <v>42</v>
      </c>
      <c r="D19" s="30"/>
      <c r="E19" s="30"/>
      <c r="F19" s="30"/>
      <c r="G19" s="95">
        <v>45540</v>
      </c>
      <c r="H19" s="96"/>
      <c r="I19" s="73" t="s">
        <v>24</v>
      </c>
      <c r="J19" s="5"/>
      <c r="K19" s="7"/>
      <c r="L19" s="29" t="s">
        <v>100</v>
      </c>
      <c r="M19" s="30"/>
      <c r="N19" s="30"/>
      <c r="O19" s="90">
        <v>45570</v>
      </c>
      <c r="P19" s="90"/>
      <c r="Q19" s="73" t="s">
        <v>24</v>
      </c>
      <c r="U19" s="144"/>
      <c r="W19" s="147"/>
      <c r="X19" s="148"/>
      <c r="Y19" s="148"/>
      <c r="Z19" s="148"/>
      <c r="AA19" s="148"/>
      <c r="AB19" s="68"/>
      <c r="AD19" s="40"/>
      <c r="AE19" s="152"/>
      <c r="AF19" s="47"/>
      <c r="AG19" s="118"/>
      <c r="AH19" s="119"/>
      <c r="AI19" s="119"/>
      <c r="AJ19" s="119"/>
      <c r="AK19" s="120"/>
    </row>
    <row r="20" spans="1:38" ht="15" customHeight="1" x14ac:dyDescent="0.2">
      <c r="C20" s="32" t="s">
        <v>43</v>
      </c>
      <c r="D20" s="33"/>
      <c r="E20" s="33"/>
      <c r="F20" s="33"/>
      <c r="G20" s="93">
        <v>45541</v>
      </c>
      <c r="H20" s="94"/>
      <c r="I20" s="73" t="s">
        <v>24</v>
      </c>
      <c r="J20" s="5"/>
      <c r="K20" s="7"/>
      <c r="L20" s="32" t="s">
        <v>101</v>
      </c>
      <c r="M20" s="33"/>
      <c r="N20" s="33"/>
      <c r="O20" s="91">
        <v>45571</v>
      </c>
      <c r="P20" s="91"/>
      <c r="Q20" s="73" t="s">
        <v>24</v>
      </c>
      <c r="U20" s="145"/>
      <c r="W20" s="149"/>
      <c r="X20" s="150"/>
      <c r="Y20" s="150"/>
      <c r="Z20" s="150"/>
      <c r="AA20" s="150"/>
      <c r="AB20" s="69"/>
      <c r="AD20" s="40"/>
      <c r="AE20" s="153"/>
      <c r="AF20" s="47"/>
      <c r="AG20" s="121"/>
      <c r="AH20" s="122"/>
      <c r="AI20" s="122"/>
      <c r="AJ20" s="122"/>
      <c r="AK20" s="123"/>
    </row>
    <row r="21" spans="1:38" ht="15" customHeight="1" x14ac:dyDescent="0.2">
      <c r="C21" s="29" t="s">
        <v>44</v>
      </c>
      <c r="D21" s="30"/>
      <c r="E21" s="30"/>
      <c r="F21" s="30"/>
      <c r="G21" s="95">
        <v>45542</v>
      </c>
      <c r="H21" s="96"/>
      <c r="I21" s="73" t="s">
        <v>24</v>
      </c>
      <c r="L21" s="29" t="s">
        <v>102</v>
      </c>
      <c r="M21" s="30"/>
      <c r="N21" s="30"/>
      <c r="O21" s="90">
        <v>45574</v>
      </c>
      <c r="P21" s="90"/>
      <c r="Q21" s="73" t="s">
        <v>24</v>
      </c>
      <c r="U21" s="8"/>
      <c r="V21" s="8"/>
      <c r="W21" s="8"/>
      <c r="X21" s="8"/>
      <c r="Y21" s="8"/>
      <c r="Z21" s="8"/>
      <c r="AA21" s="8"/>
      <c r="AD21" s="40"/>
      <c r="AE21" s="60"/>
      <c r="AF21" s="60"/>
      <c r="AG21" s="60"/>
      <c r="AH21" s="60"/>
      <c r="AI21" s="60"/>
      <c r="AJ21" s="60"/>
      <c r="AK21" s="60"/>
    </row>
    <row r="22" spans="1:38" ht="15" customHeight="1" x14ac:dyDescent="0.2">
      <c r="C22" s="32" t="s">
        <v>45</v>
      </c>
      <c r="D22" s="33"/>
      <c r="E22" s="33"/>
      <c r="F22" s="33"/>
      <c r="G22" s="93">
        <v>45544</v>
      </c>
      <c r="H22" s="94"/>
      <c r="I22" s="73" t="s">
        <v>24</v>
      </c>
      <c r="L22" s="32" t="s">
        <v>103</v>
      </c>
      <c r="M22" s="33"/>
      <c r="N22" s="33"/>
      <c r="O22" s="91">
        <v>45575</v>
      </c>
      <c r="P22" s="91"/>
      <c r="Q22" s="73" t="s">
        <v>24</v>
      </c>
      <c r="U22" s="47" t="s">
        <v>27</v>
      </c>
      <c r="V22" s="47"/>
      <c r="W22" s="47"/>
      <c r="X22" s="47"/>
      <c r="Y22" s="47"/>
      <c r="Z22" s="47"/>
      <c r="AA22" s="47"/>
      <c r="AB22" s="40"/>
      <c r="AC22" s="4"/>
      <c r="AD22" s="40"/>
      <c r="AE22" s="38" t="s">
        <v>27</v>
      </c>
      <c r="AF22" s="38"/>
      <c r="AG22" s="38"/>
      <c r="AH22" s="38"/>
      <c r="AI22" s="38"/>
      <c r="AJ22" s="38"/>
      <c r="AK22" s="38"/>
    </row>
    <row r="23" spans="1:38" ht="15" customHeight="1" x14ac:dyDescent="0.2">
      <c r="C23" s="29" t="s">
        <v>46</v>
      </c>
      <c r="D23" s="30"/>
      <c r="E23" s="30"/>
      <c r="F23" s="30"/>
      <c r="G23" s="95">
        <v>45545</v>
      </c>
      <c r="H23" s="96"/>
      <c r="I23" s="73" t="s">
        <v>24</v>
      </c>
      <c r="L23" s="29" t="s">
        <v>104</v>
      </c>
      <c r="M23" s="30"/>
      <c r="N23" s="30"/>
      <c r="O23" s="90">
        <v>45577</v>
      </c>
      <c r="P23" s="90"/>
      <c r="Q23" s="73" t="s">
        <v>24</v>
      </c>
      <c r="U23" s="58" t="s">
        <v>13</v>
      </c>
      <c r="V23" s="47"/>
      <c r="W23" s="47" t="s">
        <v>14</v>
      </c>
      <c r="X23" s="47"/>
      <c r="Y23" s="47"/>
      <c r="Z23" s="47"/>
      <c r="AA23" s="47"/>
      <c r="AB23" s="40"/>
      <c r="AC23" s="4"/>
      <c r="AD23" s="40"/>
      <c r="AE23" s="55" t="s">
        <v>13</v>
      </c>
      <c r="AF23" s="38"/>
      <c r="AG23" s="38" t="s">
        <v>14</v>
      </c>
      <c r="AH23" s="38"/>
      <c r="AI23" s="38"/>
      <c r="AJ23" s="38"/>
      <c r="AK23" s="38"/>
    </row>
    <row r="24" spans="1:38" ht="15" customHeight="1" x14ac:dyDescent="0.2">
      <c r="C24" s="32" t="s">
        <v>47</v>
      </c>
      <c r="D24" s="33"/>
      <c r="E24" s="33"/>
      <c r="F24" s="33"/>
      <c r="G24" s="93">
        <v>45546</v>
      </c>
      <c r="H24" s="94"/>
      <c r="I24" s="73" t="s">
        <v>24</v>
      </c>
      <c r="L24" s="32" t="s">
        <v>51</v>
      </c>
      <c r="M24" s="33"/>
      <c r="N24" s="33"/>
      <c r="O24" s="91">
        <v>45580</v>
      </c>
      <c r="P24" s="91"/>
      <c r="Q24" s="73" t="s">
        <v>24</v>
      </c>
      <c r="U24" s="138"/>
      <c r="V24" s="47"/>
      <c r="W24" s="115"/>
      <c r="X24" s="116"/>
      <c r="Y24" s="116"/>
      <c r="Z24" s="116"/>
      <c r="AA24" s="117"/>
      <c r="AB24" s="70"/>
      <c r="AC24" s="4"/>
      <c r="AD24" s="40"/>
      <c r="AE24" s="138"/>
      <c r="AF24" s="38"/>
      <c r="AG24" s="115"/>
      <c r="AH24" s="116"/>
      <c r="AI24" s="116"/>
      <c r="AJ24" s="116"/>
      <c r="AK24" s="117"/>
    </row>
    <row r="25" spans="1:38" ht="15" customHeight="1" x14ac:dyDescent="0.2">
      <c r="C25" s="29" t="s">
        <v>48</v>
      </c>
      <c r="D25" s="30"/>
      <c r="E25" s="30"/>
      <c r="F25" s="30"/>
      <c r="G25" s="95">
        <v>45547</v>
      </c>
      <c r="H25" s="96"/>
      <c r="I25" s="73" t="s">
        <v>24</v>
      </c>
      <c r="L25" s="29" t="s">
        <v>105</v>
      </c>
      <c r="M25" s="30"/>
      <c r="N25" s="30"/>
      <c r="O25" s="90">
        <v>45581</v>
      </c>
      <c r="P25" s="90"/>
      <c r="Q25" s="73" t="s">
        <v>24</v>
      </c>
      <c r="U25" s="139"/>
      <c r="V25" s="47"/>
      <c r="W25" s="118"/>
      <c r="X25" s="119"/>
      <c r="Y25" s="119"/>
      <c r="Z25" s="119"/>
      <c r="AA25" s="120"/>
      <c r="AB25" s="70"/>
      <c r="AC25" s="4"/>
      <c r="AD25" s="40"/>
      <c r="AE25" s="139"/>
      <c r="AF25" s="38"/>
      <c r="AG25" s="118"/>
      <c r="AH25" s="119"/>
      <c r="AI25" s="119"/>
      <c r="AJ25" s="119"/>
      <c r="AK25" s="120"/>
    </row>
    <row r="26" spans="1:38" ht="15" customHeight="1" x14ac:dyDescent="0.2">
      <c r="C26" s="32" t="s">
        <v>49</v>
      </c>
      <c r="D26" s="33"/>
      <c r="E26" s="33"/>
      <c r="F26" s="33"/>
      <c r="G26" s="93">
        <v>45548</v>
      </c>
      <c r="H26" s="94"/>
      <c r="I26" s="73" t="s">
        <v>24</v>
      </c>
      <c r="L26" s="32" t="s">
        <v>106</v>
      </c>
      <c r="M26" s="33"/>
      <c r="N26" s="33"/>
      <c r="O26" s="91">
        <v>45582</v>
      </c>
      <c r="P26" s="91"/>
      <c r="Q26" s="73" t="s">
        <v>24</v>
      </c>
      <c r="U26" s="139"/>
      <c r="V26" s="47"/>
      <c r="W26" s="118"/>
      <c r="X26" s="119"/>
      <c r="Y26" s="119"/>
      <c r="Z26" s="119"/>
      <c r="AA26" s="120"/>
      <c r="AB26" s="70"/>
      <c r="AC26" s="4"/>
      <c r="AD26" s="40"/>
      <c r="AE26" s="139"/>
      <c r="AF26" s="38"/>
      <c r="AG26" s="118"/>
      <c r="AH26" s="119"/>
      <c r="AI26" s="119"/>
      <c r="AJ26" s="119"/>
      <c r="AK26" s="120"/>
    </row>
    <row r="27" spans="1:38" ht="15" customHeight="1" x14ac:dyDescent="0.2">
      <c r="C27" s="29" t="s">
        <v>50</v>
      </c>
      <c r="D27" s="30"/>
      <c r="E27" s="30"/>
      <c r="F27" s="30"/>
      <c r="G27" s="95">
        <v>45550</v>
      </c>
      <c r="H27" s="96"/>
      <c r="I27" s="73" t="s">
        <v>24</v>
      </c>
      <c r="L27" s="29" t="s">
        <v>107</v>
      </c>
      <c r="M27" s="30"/>
      <c r="N27" s="30"/>
      <c r="O27" s="90">
        <v>45583</v>
      </c>
      <c r="P27" s="90"/>
      <c r="Q27" s="73" t="s">
        <v>24</v>
      </c>
      <c r="U27" s="139"/>
      <c r="V27" s="47"/>
      <c r="W27" s="118"/>
      <c r="X27" s="119"/>
      <c r="Y27" s="119"/>
      <c r="Z27" s="119"/>
      <c r="AA27" s="120"/>
      <c r="AB27" s="70"/>
      <c r="AC27" s="4"/>
      <c r="AD27" s="40"/>
      <c r="AE27" s="139"/>
      <c r="AF27" s="38"/>
      <c r="AG27" s="118"/>
      <c r="AH27" s="119"/>
      <c r="AI27" s="119"/>
      <c r="AJ27" s="119"/>
      <c r="AK27" s="120"/>
    </row>
    <row r="28" spans="1:38" ht="15" customHeight="1" x14ac:dyDescent="0.2">
      <c r="C28" s="32" t="s">
        <v>52</v>
      </c>
      <c r="D28" s="33"/>
      <c r="E28" s="33"/>
      <c r="F28" s="33"/>
      <c r="G28" s="93">
        <v>45551</v>
      </c>
      <c r="H28" s="94"/>
      <c r="I28" s="73" t="s">
        <v>24</v>
      </c>
      <c r="L28" s="32" t="s">
        <v>108</v>
      </c>
      <c r="M28" s="33"/>
      <c r="N28" s="33"/>
      <c r="O28" s="91">
        <v>45584</v>
      </c>
      <c r="P28" s="91"/>
      <c r="Q28" s="73" t="s">
        <v>24</v>
      </c>
      <c r="U28" s="140"/>
      <c r="V28" s="47"/>
      <c r="W28" s="121"/>
      <c r="X28" s="122"/>
      <c r="Y28" s="122"/>
      <c r="Z28" s="122"/>
      <c r="AA28" s="123"/>
      <c r="AB28" s="70"/>
      <c r="AC28" s="4"/>
      <c r="AD28" s="40"/>
      <c r="AE28" s="140"/>
      <c r="AF28" s="38"/>
      <c r="AG28" s="121"/>
      <c r="AH28" s="122"/>
      <c r="AI28" s="122"/>
      <c r="AJ28" s="122"/>
      <c r="AK28" s="123"/>
    </row>
    <row r="29" spans="1:38" ht="15" customHeight="1" x14ac:dyDescent="0.2">
      <c r="C29" s="29" t="s">
        <v>53</v>
      </c>
      <c r="D29" s="30"/>
      <c r="E29" s="30"/>
      <c r="F29" s="30"/>
      <c r="G29" s="95">
        <v>45554</v>
      </c>
      <c r="H29" s="96"/>
      <c r="I29" s="73" t="s">
        <v>24</v>
      </c>
      <c r="L29" s="29" t="s">
        <v>109</v>
      </c>
      <c r="M29" s="30"/>
      <c r="N29" s="30"/>
      <c r="O29" s="90">
        <v>45585</v>
      </c>
      <c r="P29" s="90"/>
      <c r="Q29" s="73" t="s">
        <v>24</v>
      </c>
      <c r="U29" s="59"/>
      <c r="V29" s="47"/>
      <c r="W29" s="47"/>
      <c r="X29" s="47"/>
      <c r="Y29" s="47"/>
      <c r="Z29" s="47"/>
      <c r="AA29" s="47"/>
      <c r="AB29" s="40"/>
      <c r="AC29" s="4"/>
      <c r="AD29" s="40"/>
      <c r="AE29" s="56"/>
      <c r="AF29" s="38"/>
      <c r="AG29" s="38"/>
      <c r="AH29" s="38"/>
      <c r="AI29" s="38"/>
      <c r="AJ29" s="38"/>
      <c r="AK29" s="38"/>
    </row>
    <row r="30" spans="1:38" s="4" customFormat="1" ht="15" customHeight="1" x14ac:dyDescent="0.2">
      <c r="A30" s="47"/>
      <c r="B30"/>
      <c r="C30" s="32" t="s">
        <v>54</v>
      </c>
      <c r="D30" s="33"/>
      <c r="E30" s="33"/>
      <c r="F30" s="33"/>
      <c r="G30" s="93">
        <v>45555</v>
      </c>
      <c r="H30" s="94"/>
      <c r="I30" s="73" t="s">
        <v>24</v>
      </c>
      <c r="J30"/>
      <c r="K30"/>
      <c r="L30" s="32" t="s">
        <v>110</v>
      </c>
      <c r="M30" s="33"/>
      <c r="N30" s="33"/>
      <c r="O30" s="91">
        <v>45586</v>
      </c>
      <c r="P30" s="91"/>
      <c r="Q30" s="73" t="s">
        <v>24</v>
      </c>
      <c r="R30"/>
      <c r="S30" s="43"/>
      <c r="T30"/>
      <c r="U30" s="47" t="s">
        <v>17</v>
      </c>
      <c r="V30" s="47"/>
      <c r="W30" s="47" t="s">
        <v>18</v>
      </c>
      <c r="X30" s="47"/>
      <c r="Y30" s="47"/>
      <c r="Z30" s="47"/>
      <c r="AA30" s="47"/>
      <c r="AB30" s="40"/>
      <c r="AD30" s="40"/>
      <c r="AE30" s="38" t="s">
        <v>17</v>
      </c>
      <c r="AF30" s="38"/>
      <c r="AG30" s="38" t="s">
        <v>18</v>
      </c>
      <c r="AH30" s="38"/>
      <c r="AI30" s="38"/>
      <c r="AJ30" s="38"/>
      <c r="AK30" s="38"/>
      <c r="AL30" s="17"/>
    </row>
    <row r="31" spans="1:38" s="4" customFormat="1" ht="15" customHeight="1" x14ac:dyDescent="0.2">
      <c r="A31" s="47"/>
      <c r="B31"/>
      <c r="C31" s="29" t="s">
        <v>55</v>
      </c>
      <c r="D31" s="30"/>
      <c r="E31" s="30"/>
      <c r="F31" s="30"/>
      <c r="G31" s="95">
        <v>45556</v>
      </c>
      <c r="H31" s="96"/>
      <c r="I31" s="73" t="s">
        <v>24</v>
      </c>
      <c r="J31"/>
      <c r="K31"/>
      <c r="L31" s="29" t="s">
        <v>111</v>
      </c>
      <c r="M31" s="30"/>
      <c r="N31" s="30"/>
      <c r="O31" s="90">
        <v>45588</v>
      </c>
      <c r="P31" s="90"/>
      <c r="Q31" s="73" t="s">
        <v>24</v>
      </c>
      <c r="R31"/>
      <c r="S31" s="43"/>
      <c r="T31"/>
      <c r="U31" s="151"/>
      <c r="V31" s="47"/>
      <c r="W31" s="115"/>
      <c r="X31" s="116"/>
      <c r="Y31" s="116"/>
      <c r="Z31" s="116"/>
      <c r="AA31" s="117"/>
      <c r="AB31" s="70"/>
      <c r="AD31" s="40"/>
      <c r="AE31" s="151"/>
      <c r="AF31" s="38"/>
      <c r="AG31" s="115"/>
      <c r="AH31" s="116"/>
      <c r="AI31" s="116"/>
      <c r="AJ31" s="116"/>
      <c r="AK31" s="117"/>
      <c r="AL31" s="17"/>
    </row>
    <row r="32" spans="1:38" s="4" customFormat="1" ht="15" customHeight="1" x14ac:dyDescent="0.2">
      <c r="A32" s="47"/>
      <c r="B32"/>
      <c r="C32" s="32" t="s">
        <v>56</v>
      </c>
      <c r="D32" s="33"/>
      <c r="E32" s="33"/>
      <c r="F32" s="33"/>
      <c r="G32" s="93">
        <v>45557</v>
      </c>
      <c r="H32" s="94"/>
      <c r="I32" s="73" t="s">
        <v>24</v>
      </c>
      <c r="J32"/>
      <c r="K32"/>
      <c r="L32" s="32" t="s">
        <v>112</v>
      </c>
      <c r="M32" s="33"/>
      <c r="N32" s="33"/>
      <c r="O32" s="91">
        <v>45590</v>
      </c>
      <c r="P32" s="91"/>
      <c r="Q32" s="73" t="s">
        <v>24</v>
      </c>
      <c r="R32"/>
      <c r="S32" s="43"/>
      <c r="T32"/>
      <c r="U32" s="152"/>
      <c r="V32" s="47"/>
      <c r="W32" s="118"/>
      <c r="X32" s="119"/>
      <c r="Y32" s="119"/>
      <c r="Z32" s="119"/>
      <c r="AA32" s="120"/>
      <c r="AB32" s="70"/>
      <c r="AD32" s="40"/>
      <c r="AE32" s="152"/>
      <c r="AF32" s="38"/>
      <c r="AG32" s="118"/>
      <c r="AH32" s="119"/>
      <c r="AI32" s="119"/>
      <c r="AJ32" s="119"/>
      <c r="AK32" s="120"/>
      <c r="AL32" s="17"/>
    </row>
    <row r="33" spans="1:38" s="4" customFormat="1" ht="15" customHeight="1" x14ac:dyDescent="0.2">
      <c r="A33" s="47"/>
      <c r="B33"/>
      <c r="C33" s="29" t="s">
        <v>57</v>
      </c>
      <c r="D33" s="30"/>
      <c r="E33" s="30"/>
      <c r="F33" s="30"/>
      <c r="G33" s="95">
        <v>45558</v>
      </c>
      <c r="H33" s="96"/>
      <c r="I33" s="73" t="s">
        <v>24</v>
      </c>
      <c r="J33"/>
      <c r="K33"/>
      <c r="L33" s="29" t="s">
        <v>113</v>
      </c>
      <c r="M33" s="30"/>
      <c r="N33" s="30"/>
      <c r="O33" s="90">
        <v>45591</v>
      </c>
      <c r="P33" s="90"/>
      <c r="Q33" s="73" t="s">
        <v>24</v>
      </c>
      <c r="R33"/>
      <c r="S33" s="43"/>
      <c r="T33"/>
      <c r="U33" s="152"/>
      <c r="V33" s="47"/>
      <c r="W33" s="118"/>
      <c r="X33" s="119"/>
      <c r="Y33" s="119"/>
      <c r="Z33" s="119"/>
      <c r="AA33" s="120"/>
      <c r="AB33" s="70"/>
      <c r="AD33" s="40"/>
      <c r="AE33" s="152"/>
      <c r="AF33" s="38"/>
      <c r="AG33" s="118"/>
      <c r="AH33" s="119"/>
      <c r="AI33" s="119"/>
      <c r="AJ33" s="119"/>
      <c r="AK33" s="120"/>
      <c r="AL33" s="17"/>
    </row>
    <row r="34" spans="1:38" s="4" customFormat="1" ht="15" customHeight="1" x14ac:dyDescent="0.2">
      <c r="A34" s="47"/>
      <c r="B34"/>
      <c r="C34" s="32" t="s">
        <v>58</v>
      </c>
      <c r="D34" s="33"/>
      <c r="E34" s="33"/>
      <c r="F34" s="33"/>
      <c r="G34" s="93">
        <v>45558</v>
      </c>
      <c r="H34" s="94"/>
      <c r="I34" s="73" t="s">
        <v>24</v>
      </c>
      <c r="J34"/>
      <c r="K34"/>
      <c r="L34" s="32" t="s">
        <v>114</v>
      </c>
      <c r="M34" s="33"/>
      <c r="N34" s="33"/>
      <c r="O34" s="91">
        <v>45593</v>
      </c>
      <c r="P34" s="91"/>
      <c r="Q34" s="73" t="s">
        <v>24</v>
      </c>
      <c r="R34"/>
      <c r="S34" s="43"/>
      <c r="T34"/>
      <c r="U34" s="152"/>
      <c r="V34" s="47"/>
      <c r="W34" s="118"/>
      <c r="X34" s="119"/>
      <c r="Y34" s="119"/>
      <c r="Z34" s="119"/>
      <c r="AA34" s="120"/>
      <c r="AB34" s="70"/>
      <c r="AD34" s="40"/>
      <c r="AE34" s="152"/>
      <c r="AF34" s="38"/>
      <c r="AG34" s="118"/>
      <c r="AH34" s="119"/>
      <c r="AI34" s="119"/>
      <c r="AJ34" s="119"/>
      <c r="AK34" s="120"/>
      <c r="AL34" s="17"/>
    </row>
    <row r="35" spans="1:38" ht="15" customHeight="1" x14ac:dyDescent="0.2">
      <c r="C35" s="32" t="s">
        <v>59</v>
      </c>
      <c r="D35" s="33"/>
      <c r="E35" s="33"/>
      <c r="F35" s="33"/>
      <c r="G35" s="93">
        <v>45560</v>
      </c>
      <c r="H35" s="94"/>
      <c r="I35" s="73" t="s">
        <v>24</v>
      </c>
      <c r="L35" s="29" t="s">
        <v>115</v>
      </c>
      <c r="M35" s="30"/>
      <c r="N35" s="30"/>
      <c r="O35" s="89">
        <v>45594</v>
      </c>
      <c r="P35" s="89"/>
      <c r="Q35" s="73" t="s">
        <v>24</v>
      </c>
      <c r="U35" s="152"/>
      <c r="V35" s="47"/>
      <c r="W35" s="118"/>
      <c r="X35" s="119"/>
      <c r="Y35" s="119"/>
      <c r="Z35" s="119"/>
      <c r="AA35" s="120"/>
      <c r="AB35" s="70"/>
      <c r="AC35" s="4"/>
      <c r="AD35" s="40"/>
      <c r="AE35" s="152"/>
      <c r="AF35" s="38"/>
      <c r="AG35" s="118"/>
      <c r="AH35" s="119"/>
      <c r="AI35" s="119"/>
      <c r="AJ35" s="119"/>
      <c r="AK35" s="120"/>
    </row>
    <row r="36" spans="1:38" ht="22.5" x14ac:dyDescent="0.2">
      <c r="C36" s="35" t="s">
        <v>60</v>
      </c>
      <c r="D36" s="36"/>
      <c r="E36" s="36"/>
      <c r="F36" s="36"/>
      <c r="G36" s="95">
        <v>45560</v>
      </c>
      <c r="H36" s="95"/>
      <c r="I36" s="73" t="s">
        <v>24</v>
      </c>
      <c r="L36" s="29" t="s">
        <v>116</v>
      </c>
      <c r="M36" s="30"/>
      <c r="N36" s="30"/>
      <c r="O36" s="89">
        <v>45595</v>
      </c>
      <c r="P36" s="89"/>
      <c r="Q36" s="73"/>
      <c r="U36" s="152"/>
      <c r="V36" s="47"/>
      <c r="W36" s="118"/>
      <c r="X36" s="119"/>
      <c r="Y36" s="119"/>
      <c r="Z36" s="119"/>
      <c r="AA36" s="120"/>
      <c r="AB36" s="70"/>
      <c r="AC36" s="4"/>
      <c r="AD36" s="40"/>
      <c r="AE36" s="152"/>
      <c r="AF36" s="38"/>
      <c r="AG36" s="118"/>
      <c r="AH36" s="119"/>
      <c r="AI36" s="119"/>
      <c r="AJ36" s="119"/>
      <c r="AK36" s="120"/>
    </row>
    <row r="37" spans="1:38" x14ac:dyDescent="0.2">
      <c r="L37" s="29" t="s">
        <v>117</v>
      </c>
      <c r="M37" s="30"/>
      <c r="N37" s="30"/>
      <c r="O37" s="89">
        <v>45596</v>
      </c>
      <c r="P37" s="89"/>
      <c r="Q37" s="73"/>
      <c r="U37" s="153"/>
      <c r="V37" s="47"/>
      <c r="W37" s="121"/>
      <c r="X37" s="122"/>
      <c r="Y37" s="122"/>
      <c r="Z37" s="122"/>
      <c r="AA37" s="123"/>
      <c r="AB37" s="70"/>
      <c r="AC37" s="4"/>
      <c r="AD37" s="40"/>
      <c r="AE37" s="153"/>
      <c r="AF37" s="38"/>
      <c r="AG37" s="121"/>
      <c r="AH37" s="122"/>
      <c r="AI37" s="122"/>
      <c r="AJ37" s="122"/>
      <c r="AK37" s="123"/>
    </row>
    <row r="38" spans="1:38" x14ac:dyDescent="0.2">
      <c r="L38" s="29"/>
      <c r="M38" s="30"/>
      <c r="N38" s="30"/>
      <c r="O38" s="158"/>
      <c r="P38" s="158"/>
      <c r="Q38" s="73"/>
      <c r="U38" s="4"/>
      <c r="V38" s="4"/>
      <c r="W38" s="4"/>
      <c r="X38" s="4"/>
      <c r="Y38" s="4"/>
      <c r="Z38" s="4"/>
      <c r="AA38" s="4"/>
      <c r="AB38" s="40"/>
      <c r="AC38" s="4"/>
      <c r="AD38" s="40"/>
      <c r="AE38" s="4"/>
      <c r="AF38" s="4"/>
      <c r="AG38" s="4"/>
      <c r="AH38" s="4"/>
      <c r="AI38" s="4"/>
      <c r="AJ38" s="4"/>
      <c r="AK38" s="4"/>
    </row>
    <row r="39" spans="1:38" x14ac:dyDescent="0.2">
      <c r="L39" s="29"/>
      <c r="M39" s="30"/>
      <c r="N39" s="30"/>
      <c r="O39" s="158"/>
      <c r="P39" s="158"/>
      <c r="Q39" s="73"/>
      <c r="U39" s="61" t="s">
        <v>27</v>
      </c>
      <c r="V39" s="61"/>
      <c r="W39" s="61"/>
      <c r="X39" s="61"/>
      <c r="Y39" s="61"/>
      <c r="Z39" s="61"/>
      <c r="AA39" s="61"/>
      <c r="AB39" s="40"/>
      <c r="AC39" s="4"/>
      <c r="AD39" s="40"/>
      <c r="AE39" s="57" t="s">
        <v>27</v>
      </c>
      <c r="AF39" s="57"/>
      <c r="AG39" s="57"/>
      <c r="AH39" s="57"/>
      <c r="AI39" s="57"/>
      <c r="AJ39" s="57"/>
      <c r="AK39" s="57"/>
    </row>
    <row r="40" spans="1:38" ht="12" x14ac:dyDescent="0.2">
      <c r="L40" s="29"/>
      <c r="M40" s="30"/>
      <c r="N40" s="30"/>
      <c r="O40" s="158"/>
      <c r="P40" s="158"/>
      <c r="Q40" s="73"/>
      <c r="U40" s="55" t="s">
        <v>13</v>
      </c>
      <c r="V40" s="38"/>
      <c r="W40" s="38" t="s">
        <v>14</v>
      </c>
      <c r="X40" s="38"/>
      <c r="Y40" s="38"/>
      <c r="Z40" s="38"/>
      <c r="AA40" s="38"/>
      <c r="AB40" s="40"/>
      <c r="AC40" s="4"/>
      <c r="AD40" s="40"/>
      <c r="AE40" s="58" t="s">
        <v>13</v>
      </c>
      <c r="AF40" s="47"/>
      <c r="AG40" s="47" t="s">
        <v>14</v>
      </c>
      <c r="AH40" s="47"/>
      <c r="AI40" s="47"/>
      <c r="AJ40" s="47"/>
      <c r="AK40" s="47"/>
    </row>
    <row r="41" spans="1:38" x14ac:dyDescent="0.2">
      <c r="U41" s="138"/>
      <c r="V41" s="38"/>
      <c r="W41" s="115"/>
      <c r="X41" s="116"/>
      <c r="Y41" s="116"/>
      <c r="Z41" s="116"/>
      <c r="AA41" s="117"/>
      <c r="AB41" s="70"/>
      <c r="AC41" s="4"/>
      <c r="AD41" s="40"/>
      <c r="AE41" s="138"/>
      <c r="AF41" s="47"/>
      <c r="AG41" s="115"/>
      <c r="AH41" s="116"/>
      <c r="AI41" s="116"/>
      <c r="AJ41" s="116"/>
      <c r="AK41" s="117"/>
    </row>
    <row r="42" spans="1:38" x14ac:dyDescent="0.2">
      <c r="U42" s="139"/>
      <c r="V42" s="38"/>
      <c r="W42" s="118"/>
      <c r="X42" s="119"/>
      <c r="Y42" s="119"/>
      <c r="Z42" s="119"/>
      <c r="AA42" s="120"/>
      <c r="AB42" s="70"/>
      <c r="AC42" s="4"/>
      <c r="AD42" s="40"/>
      <c r="AE42" s="139"/>
      <c r="AF42" s="47"/>
      <c r="AG42" s="118"/>
      <c r="AH42" s="119"/>
      <c r="AI42" s="119"/>
      <c r="AJ42" s="119"/>
      <c r="AK42" s="120"/>
    </row>
    <row r="43" spans="1:38" x14ac:dyDescent="0.2">
      <c r="U43" s="139"/>
      <c r="V43" s="38"/>
      <c r="W43" s="118"/>
      <c r="X43" s="119"/>
      <c r="Y43" s="119"/>
      <c r="Z43" s="119"/>
      <c r="AA43" s="120"/>
      <c r="AB43" s="70"/>
      <c r="AC43" s="4"/>
      <c r="AD43" s="40"/>
      <c r="AE43" s="139"/>
      <c r="AF43" s="47"/>
      <c r="AG43" s="118"/>
      <c r="AH43" s="119"/>
      <c r="AI43" s="119"/>
      <c r="AJ43" s="119"/>
      <c r="AK43" s="120"/>
    </row>
    <row r="44" spans="1:38" x14ac:dyDescent="0.2">
      <c r="U44" s="139"/>
      <c r="V44" s="38"/>
      <c r="W44" s="118"/>
      <c r="X44" s="119"/>
      <c r="Y44" s="119"/>
      <c r="Z44" s="119"/>
      <c r="AA44" s="120"/>
      <c r="AB44" s="70"/>
      <c r="AC44" s="4"/>
      <c r="AD44" s="40"/>
      <c r="AE44" s="139"/>
      <c r="AF44" s="47"/>
      <c r="AG44" s="118"/>
      <c r="AH44" s="119"/>
      <c r="AI44" s="119"/>
      <c r="AJ44" s="119"/>
      <c r="AK44" s="120"/>
    </row>
    <row r="45" spans="1:38" x14ac:dyDescent="0.2">
      <c r="U45" s="140"/>
      <c r="V45" s="38"/>
      <c r="W45" s="121"/>
      <c r="X45" s="122"/>
      <c r="Y45" s="122"/>
      <c r="Z45" s="122"/>
      <c r="AA45" s="123"/>
      <c r="AB45" s="70"/>
      <c r="AC45" s="4"/>
      <c r="AD45" s="40"/>
      <c r="AE45" s="140"/>
      <c r="AF45" s="47"/>
      <c r="AG45" s="121"/>
      <c r="AH45" s="122"/>
      <c r="AI45" s="122"/>
      <c r="AJ45" s="122"/>
      <c r="AK45" s="123"/>
    </row>
    <row r="46" spans="1:38" x14ac:dyDescent="0.2">
      <c r="U46" s="56"/>
      <c r="V46" s="38"/>
      <c r="W46" s="38"/>
      <c r="X46" s="38"/>
      <c r="Y46" s="38"/>
      <c r="Z46" s="38"/>
      <c r="AA46" s="38"/>
      <c r="AB46" s="40"/>
      <c r="AC46" s="4"/>
      <c r="AD46" s="40"/>
      <c r="AE46" s="59"/>
      <c r="AF46" s="47"/>
      <c r="AG46" s="47"/>
      <c r="AH46" s="47"/>
      <c r="AI46" s="47"/>
      <c r="AJ46" s="47"/>
      <c r="AK46" s="47"/>
    </row>
    <row r="47" spans="1:38" x14ac:dyDescent="0.2">
      <c r="U47" s="38" t="s">
        <v>17</v>
      </c>
      <c r="V47" s="38"/>
      <c r="W47" s="38" t="s">
        <v>18</v>
      </c>
      <c r="X47" s="38"/>
      <c r="Y47" s="38"/>
      <c r="Z47" s="38"/>
      <c r="AA47" s="38"/>
      <c r="AB47" s="40"/>
      <c r="AC47" s="4"/>
      <c r="AD47" s="40"/>
      <c r="AE47" s="47" t="s">
        <v>17</v>
      </c>
      <c r="AF47" s="47"/>
      <c r="AG47" s="47" t="s">
        <v>18</v>
      </c>
      <c r="AH47" s="47"/>
      <c r="AI47" s="47"/>
      <c r="AJ47" s="47"/>
      <c r="AK47" s="47"/>
    </row>
    <row r="48" spans="1:38" x14ac:dyDescent="0.2">
      <c r="U48" s="151"/>
      <c r="V48" s="38"/>
      <c r="W48" s="115"/>
      <c r="X48" s="116"/>
      <c r="Y48" s="116"/>
      <c r="Z48" s="116"/>
      <c r="AA48" s="117"/>
      <c r="AB48" s="70"/>
      <c r="AC48" s="4"/>
      <c r="AD48" s="40"/>
      <c r="AE48" s="151"/>
      <c r="AF48" s="47"/>
      <c r="AG48" s="115"/>
      <c r="AH48" s="116"/>
      <c r="AI48" s="116"/>
      <c r="AJ48" s="116"/>
      <c r="AK48" s="117"/>
    </row>
    <row r="49" spans="21:37" x14ac:dyDescent="0.2">
      <c r="U49" s="152"/>
      <c r="V49" s="38"/>
      <c r="W49" s="118"/>
      <c r="X49" s="119"/>
      <c r="Y49" s="119"/>
      <c r="Z49" s="119"/>
      <c r="AA49" s="120"/>
      <c r="AB49" s="70"/>
      <c r="AC49" s="4"/>
      <c r="AD49" s="40"/>
      <c r="AE49" s="152"/>
      <c r="AF49" s="47"/>
      <c r="AG49" s="118"/>
      <c r="AH49" s="119"/>
      <c r="AI49" s="119"/>
      <c r="AJ49" s="119"/>
      <c r="AK49" s="120"/>
    </row>
    <row r="50" spans="21:37" x14ac:dyDescent="0.2">
      <c r="U50" s="152"/>
      <c r="V50" s="38"/>
      <c r="W50" s="118"/>
      <c r="X50" s="119"/>
      <c r="Y50" s="119"/>
      <c r="Z50" s="119"/>
      <c r="AA50" s="120"/>
      <c r="AB50" s="70"/>
      <c r="AC50" s="4"/>
      <c r="AD50" s="40"/>
      <c r="AE50" s="152"/>
      <c r="AF50" s="47"/>
      <c r="AG50" s="118"/>
      <c r="AH50" s="119"/>
      <c r="AI50" s="119"/>
      <c r="AJ50" s="119"/>
      <c r="AK50" s="120"/>
    </row>
    <row r="51" spans="21:37" x14ac:dyDescent="0.2">
      <c r="U51" s="152"/>
      <c r="V51" s="38"/>
      <c r="W51" s="118"/>
      <c r="X51" s="119"/>
      <c r="Y51" s="119"/>
      <c r="Z51" s="119"/>
      <c r="AA51" s="120"/>
      <c r="AB51" s="70"/>
      <c r="AC51" s="4"/>
      <c r="AD51" s="40"/>
      <c r="AE51" s="152"/>
      <c r="AF51" s="47"/>
      <c r="AG51" s="118"/>
      <c r="AH51" s="119"/>
      <c r="AI51" s="119"/>
      <c r="AJ51" s="119"/>
      <c r="AK51" s="120"/>
    </row>
    <row r="52" spans="21:37" x14ac:dyDescent="0.2">
      <c r="U52" s="152"/>
      <c r="V52" s="38"/>
      <c r="W52" s="118"/>
      <c r="X52" s="119"/>
      <c r="Y52" s="119"/>
      <c r="Z52" s="119"/>
      <c r="AA52" s="120"/>
      <c r="AB52" s="70"/>
      <c r="AC52" s="4"/>
      <c r="AD52" s="40"/>
      <c r="AE52" s="152"/>
      <c r="AF52" s="47"/>
      <c r="AG52" s="118"/>
      <c r="AH52" s="119"/>
      <c r="AI52" s="119"/>
      <c r="AJ52" s="119"/>
      <c r="AK52" s="120"/>
    </row>
    <row r="53" spans="21:37" x14ac:dyDescent="0.2">
      <c r="U53" s="152"/>
      <c r="V53" s="38"/>
      <c r="W53" s="118"/>
      <c r="X53" s="119"/>
      <c r="Y53" s="119"/>
      <c r="Z53" s="119"/>
      <c r="AA53" s="120"/>
      <c r="AB53" s="70"/>
      <c r="AC53" s="4"/>
      <c r="AD53" s="40"/>
      <c r="AE53" s="152"/>
      <c r="AF53" s="47"/>
      <c r="AG53" s="118"/>
      <c r="AH53" s="119"/>
      <c r="AI53" s="119"/>
      <c r="AJ53" s="119"/>
      <c r="AK53" s="120"/>
    </row>
    <row r="54" spans="21:37" x14ac:dyDescent="0.2">
      <c r="U54" s="153"/>
      <c r="V54" s="38"/>
      <c r="W54" s="121"/>
      <c r="X54" s="122"/>
      <c r="Y54" s="122"/>
      <c r="Z54" s="122"/>
      <c r="AA54" s="123"/>
      <c r="AB54" s="70"/>
      <c r="AC54" s="4"/>
      <c r="AD54" s="40"/>
      <c r="AE54" s="153"/>
      <c r="AF54" s="47"/>
      <c r="AG54" s="121"/>
      <c r="AH54" s="122"/>
      <c r="AI54" s="122"/>
      <c r="AJ54" s="122"/>
      <c r="AK54" s="123"/>
    </row>
    <row r="55" spans="21:37" x14ac:dyDescent="0.2">
      <c r="U55" s="38"/>
      <c r="V55" s="38"/>
      <c r="W55" s="38"/>
      <c r="X55" s="38"/>
      <c r="Y55" s="38"/>
      <c r="Z55" s="38"/>
      <c r="AA55" s="38"/>
      <c r="AB55" s="40"/>
      <c r="AC55" s="4"/>
      <c r="AD55" s="40"/>
      <c r="AE55" s="47"/>
      <c r="AF55" s="47"/>
      <c r="AG55" s="47"/>
      <c r="AH55" s="47"/>
      <c r="AI55" s="47"/>
      <c r="AJ55" s="47"/>
      <c r="AK55" s="47"/>
    </row>
    <row r="73" spans="21:21" x14ac:dyDescent="0.2">
      <c r="U73" s="4"/>
    </row>
  </sheetData>
  <mergeCells count="34">
    <mergeCell ref="O38:P38"/>
    <mergeCell ref="O39:P39"/>
    <mergeCell ref="O40:P40"/>
    <mergeCell ref="AE41:AE45"/>
    <mergeCell ref="AG41:AK45"/>
    <mergeCell ref="AE48:AE54"/>
    <mergeCell ref="AG48:AK54"/>
    <mergeCell ref="AE31:AE37"/>
    <mergeCell ref="AG31:AK37"/>
    <mergeCell ref="U48:U54"/>
    <mergeCell ref="W48:AA54"/>
    <mergeCell ref="U31:U37"/>
    <mergeCell ref="W31:AA37"/>
    <mergeCell ref="U41:U45"/>
    <mergeCell ref="W41:AA45"/>
    <mergeCell ref="C13:I13"/>
    <mergeCell ref="K13:Q13"/>
    <mergeCell ref="AE14:AE20"/>
    <mergeCell ref="AG14:AK20"/>
    <mergeCell ref="AE24:AE28"/>
    <mergeCell ref="AG24:AK28"/>
    <mergeCell ref="W14:AA20"/>
    <mergeCell ref="U24:U28"/>
    <mergeCell ref="W24:AA28"/>
    <mergeCell ref="U14:U20"/>
    <mergeCell ref="B1:R1"/>
    <mergeCell ref="T1:AN1"/>
    <mergeCell ref="U7:U11"/>
    <mergeCell ref="W7:AA11"/>
    <mergeCell ref="AE7:AE11"/>
    <mergeCell ref="AG7:AK11"/>
    <mergeCell ref="B2:J2"/>
    <mergeCell ref="C4:I4"/>
    <mergeCell ref="K4:Q4"/>
  </mergeCells>
  <dataValidations count="1">
    <dataValidation allowBlank="1" showInputMessage="1" showErrorMessage="1" errorTitle="Ano Inválido" error="Insira um ano de 1900 a 9999 ou use a barra de rolagem para encontrar um ano." sqref="B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56"/>
  <sheetViews>
    <sheetView showGridLines="0" topLeftCell="A4" zoomScaleNormal="100" workbookViewId="0">
      <pane xSplit="1" topLeftCell="B1" activePane="topRight" state="frozen"/>
      <selection activeCell="B1" sqref="B1:R1"/>
      <selection pane="topRight" activeCell="Y3" sqref="Y3:AE3"/>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7.33203125" customWidth="1"/>
    <col min="7" max="7" width="6.83203125" customWidth="1"/>
    <col min="8" max="8" width="6" customWidth="1"/>
    <col min="9" max="9" width="6.5" customWidth="1"/>
    <col min="10" max="10" width="8.33203125" customWidth="1"/>
    <col min="11" max="11" width="8.1640625" customWidth="1"/>
    <col min="12" max="12" width="7.83203125" customWidth="1"/>
    <col min="13" max="17" width="6.5" customWidth="1"/>
    <col min="18" max="18" width="7.5" customWidth="1"/>
    <col min="19" max="19" width="1.5" style="43" customWidth="1"/>
    <col min="20" max="20" width="1.6640625" style="17" customWidth="1"/>
    <col min="21" max="21" width="55.5" customWidth="1"/>
    <col min="22" max="22" width="2.83203125" customWidth="1"/>
    <col min="23" max="23" width="13.5" customWidth="1"/>
    <col min="24" max="24" width="2.83203125" customWidth="1"/>
    <col min="25" max="26" width="9.33203125" customWidth="1"/>
    <col min="27" max="27" width="18.33203125" customWidth="1"/>
    <col min="28" max="28" width="2.33203125" style="17" customWidth="1"/>
    <col min="29" max="29" width="2.6640625" customWidth="1"/>
    <col min="30" max="30" width="1.33203125" style="17" customWidth="1"/>
    <col min="31" max="31" width="42.1640625" customWidth="1"/>
    <col min="32" max="32" width="7.83203125" customWidth="1"/>
    <col min="33" max="36" width="9.33203125" customWidth="1"/>
    <col min="37" max="37" width="14.83203125" customWidth="1"/>
    <col min="38" max="38" width="2.33203125" style="17" customWidth="1"/>
    <col min="39" max="44" width="9.33203125" customWidth="1"/>
    <col min="45" max="45" width="9.5" customWidth="1"/>
  </cols>
  <sheetData>
    <row r="1" spans="1:38" ht="72.75" customHeight="1" x14ac:dyDescent="0.2">
      <c r="A1" s="45"/>
      <c r="B1" s="37"/>
      <c r="C1" s="181">
        <v>2024</v>
      </c>
      <c r="D1" s="181"/>
      <c r="E1" s="181"/>
      <c r="F1" s="181"/>
      <c r="G1" s="181"/>
      <c r="H1" s="181"/>
      <c r="I1" s="181"/>
      <c r="J1" s="181"/>
      <c r="K1" s="181"/>
      <c r="L1" s="181"/>
      <c r="M1" s="181"/>
      <c r="N1" s="181"/>
      <c r="O1" s="181"/>
      <c r="P1" s="181"/>
      <c r="Q1" s="38"/>
      <c r="R1" s="38"/>
      <c r="S1" s="37"/>
      <c r="T1" s="37"/>
      <c r="U1" s="179" t="s">
        <v>0</v>
      </c>
      <c r="V1" s="180"/>
      <c r="W1" s="180"/>
      <c r="X1" s="180"/>
      <c r="Y1" s="180"/>
      <c r="Z1" s="180"/>
      <c r="AA1" s="180"/>
      <c r="AB1" s="180"/>
      <c r="AC1" s="180"/>
      <c r="AD1" s="180"/>
      <c r="AE1" s="180"/>
      <c r="AF1" s="180"/>
      <c r="AG1" s="180"/>
      <c r="AH1" s="180"/>
      <c r="AI1" s="180"/>
      <c r="AJ1" s="180"/>
      <c r="AK1" s="180"/>
    </row>
    <row r="2" spans="1:38" ht="15" customHeight="1" x14ac:dyDescent="0.2">
      <c r="A2" s="46"/>
      <c r="B2" s="184" t="s">
        <v>1</v>
      </c>
      <c r="C2" s="184"/>
      <c r="D2" s="184"/>
      <c r="E2" s="184"/>
      <c r="F2" s="184"/>
      <c r="G2" s="184"/>
      <c r="H2" s="184"/>
      <c r="I2" s="184"/>
      <c r="J2" s="184"/>
    </row>
    <row r="3" spans="1:38" ht="15" customHeight="1" x14ac:dyDescent="0.25">
      <c r="A3" s="46"/>
      <c r="J3" s="5"/>
      <c r="U3" s="51" t="s">
        <v>61</v>
      </c>
      <c r="V3" s="185"/>
      <c r="W3" s="185"/>
      <c r="Y3" s="106" t="s">
        <v>159</v>
      </c>
      <c r="AE3" s="105" t="s">
        <v>160</v>
      </c>
    </row>
    <row r="4" spans="1:38" ht="15" customHeight="1" x14ac:dyDescent="0.25">
      <c r="A4" s="46"/>
      <c r="B4" s="53"/>
      <c r="C4" s="186" t="s">
        <v>62</v>
      </c>
      <c r="D4" s="186"/>
      <c r="E4" s="186"/>
      <c r="F4" s="186"/>
      <c r="G4" s="186"/>
      <c r="H4" s="186"/>
      <c r="I4" s="186"/>
      <c r="J4" s="54"/>
      <c r="K4" s="186" t="s">
        <v>63</v>
      </c>
      <c r="L4" s="186"/>
      <c r="M4" s="186"/>
      <c r="N4" s="186"/>
      <c r="O4" s="186"/>
      <c r="P4" s="186"/>
      <c r="Q4" s="186"/>
      <c r="U4" s="51" t="s">
        <v>64</v>
      </c>
      <c r="V4" s="185"/>
      <c r="W4" s="185"/>
    </row>
    <row r="5" spans="1:38" ht="15" customHeight="1"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52"/>
    </row>
    <row r="6" spans="1:38" ht="15" customHeight="1" x14ac:dyDescent="0.2">
      <c r="A6" s="46"/>
      <c r="C6" s="7" t="str">
        <f>IF(DAY(NovDom1)=1,"",IF(AND(YEAR(NovDom1+1)=AnoDoCalendário,MONTH(NovDom1+1)=11),NovDom1+1,""))</f>
        <v/>
      </c>
      <c r="D6" s="7" t="str">
        <f>IF(DAY(NovDom1)=1,"",IF(AND(YEAR(NovDom1+2)=AnoDoCalendário,MONTH(NovDom1+2)=11),NovDom1+2,""))</f>
        <v/>
      </c>
      <c r="E6" s="7" t="str">
        <f>IF(DAY(NovDom1)=1,"",IF(AND(YEAR(NovDom1+3)=AnoDoCalendário,MONTH(NovDom1+3)=11),NovDom1+3,""))</f>
        <v/>
      </c>
      <c r="F6" s="44" t="str">
        <f>IF(DAY(NovDom1)=1,"",IF(AND(YEAR(NovDom1+4)=AnoDoCalendário,MONTH(NovDom1+4)=11),NovDom1+4,""))</f>
        <v/>
      </c>
      <c r="G6" s="50" t="str">
        <f>IF(DAY(NovDom1)=1,"",IF(AND(YEAR(NovDom1+5)=AnoDoCalendário,MONTH(NovDom1+5)=11),NovDom1+5,""))</f>
        <v/>
      </c>
      <c r="H6" s="7">
        <f>IF(DAY(NovDom1)=1,"",IF(AND(YEAR(NovDom1+6)=AnoDoCalendário,MONTH(NovDom1+6)=11),NovDom1+6,""))</f>
        <v>45597</v>
      </c>
      <c r="I6" s="44">
        <f>IF(DAY(NovDom1)=1,IF(AND(YEAR(NovDom1)=AnoDoCalendário,MONTH(NovDom1)=11),NovDom1,""),IF(AND(YEAR(NovDom1+7)=AnoDoCalendário,MONTH(NovDom1+7)=11),NovDom1+7,""))</f>
        <v>45598</v>
      </c>
      <c r="J6" s="5"/>
      <c r="K6" s="7">
        <f>IF(DAY(DezDom1)=1,"",IF(AND(YEAR(DezDom1+1)=AnoDoCalendário,MONTH(DezDom1+1)=12),DezDom1+1,""))</f>
        <v>45627</v>
      </c>
      <c r="L6" s="7">
        <f>IF(DAY(DezDom1)=1,"",IF(AND(YEAR(DezDom1+2)=AnoDoCalendário,MONTH(DezDom1+2)=12),DezDom1+2,""))</f>
        <v>45628</v>
      </c>
      <c r="M6" s="7">
        <f>IF(DAY(DezDom1)=1,"",IF(AND(YEAR(DezDom1+3)=AnoDoCalendário,MONTH(DezDom1+3)=12),DezDom1+3,""))</f>
        <v>45629</v>
      </c>
      <c r="N6" s="7">
        <f>IF(DAY(DezDom1)=1,"",IF(AND(YEAR(DezDom1+4)=AnoDoCalendário,MONTH(DezDom1+4)=12),DezDom1+4,""))</f>
        <v>45630</v>
      </c>
      <c r="O6" s="7">
        <f>IF(DAY(DezDom1)=1,"",IF(AND(YEAR(DezDom1+5)=AnoDoCalendário,MONTH(DezDom1+5)=12),DezDom1+5,""))</f>
        <v>45631</v>
      </c>
      <c r="P6" s="7">
        <f>IF(DAY(DezDom1)=1,"",IF(AND(YEAR(DezDom1+6)=AnoDoCalendário,MONTH(DezDom1+6)=12),DezDom1+6,""))</f>
        <v>45632</v>
      </c>
      <c r="Q6" s="44">
        <f>IF(DAY(DezDom1)=1,IF(AND(YEAR(DezDom1)=AnoDoCalendário,MONTH(DezDom1)=12),DezDom1,""),IF(AND(YEAR(DezDom1+7)=AnoDoCalendário,MONTH(DezDom1+7)=12),DezDom1+7,""))</f>
        <v>45633</v>
      </c>
      <c r="U6" s="11" t="s">
        <v>13</v>
      </c>
      <c r="W6" s="13" t="s">
        <v>14</v>
      </c>
      <c r="X6" s="13"/>
      <c r="Y6" s="13"/>
      <c r="Z6" s="13"/>
      <c r="AA6" s="13"/>
      <c r="AB6" s="66"/>
      <c r="AE6" s="55" t="s">
        <v>13</v>
      </c>
      <c r="AF6" s="38"/>
      <c r="AG6" s="38" t="s">
        <v>14</v>
      </c>
      <c r="AH6" s="38"/>
      <c r="AI6" s="38"/>
      <c r="AJ6" s="38"/>
      <c r="AK6" s="38"/>
      <c r="AL6" s="40"/>
    </row>
    <row r="7" spans="1:38" ht="15" customHeight="1" x14ac:dyDescent="0.2">
      <c r="A7" s="46"/>
      <c r="C7" s="44">
        <f>IF(DAY(NovDom1)=1,IF(AND(YEAR(NovDom1+1)=AnoDoCalendário,MONTH(NovDom1+1)=11),NovDom1+1,""),IF(AND(YEAR(NovDom1+8)=AnoDoCalendário,MONTH(NovDom1+8)=11),NovDom1+8,""))</f>
        <v>45599</v>
      </c>
      <c r="D7" s="44">
        <f>IF(DAY(NovDom1)=1,IF(AND(YEAR(NovDom1+2)=AnoDoCalendário,MONTH(NovDom1+2)=11),NovDom1+2,""),IF(AND(YEAR(NovDom1+9)=AnoDoCalendário,MONTH(NovDom1+9)=11),NovDom1+9,""))</f>
        <v>45600</v>
      </c>
      <c r="E7" s="7">
        <f>IF(DAY(NovDom1)=1,IF(AND(YEAR(NovDom1+3)=AnoDoCalendário,MONTH(NovDom1+3)=11),NovDom1+3,""),IF(AND(YEAR(NovDom1+10)=AnoDoCalendário,MONTH(NovDom1+10)=11),NovDom1+10,""))</f>
        <v>45601</v>
      </c>
      <c r="F7" s="7">
        <f>IF(DAY(NovDom1)=1,IF(AND(YEAR(NovDom1+4)=AnoDoCalendário,MONTH(NovDom1+4)=11),NovDom1+4,""),IF(AND(YEAR(NovDom1+11)=AnoDoCalendário,MONTH(NovDom1+11)=11),NovDom1+11,""))</f>
        <v>45602</v>
      </c>
      <c r="G7" s="44">
        <f>IF(DAY(NovDom1)=1,IF(AND(YEAR(NovDom1+5)=AnoDoCalendário,MONTH(NovDom1+5)=11),NovDom1+5,""),IF(AND(YEAR(NovDom1+12)=AnoDoCalendário,MONTH(NovDom1+12)=11),NovDom1+12,""))</f>
        <v>45603</v>
      </c>
      <c r="H7" s="44">
        <f>IF(DAY(NovDom1)=1,IF(AND(YEAR(NovDom1+6)=AnoDoCalendário,MONTH(NovDom1+6)=11),NovDom1+6,""),IF(AND(YEAR(NovDom1+13)=AnoDoCalendário,MONTH(NovDom1+13)=11),NovDom1+13,""))</f>
        <v>45604</v>
      </c>
      <c r="I7" s="7">
        <f>IF(DAY(NovDom1)=1,IF(AND(YEAR(NovDom1+7)=AnoDoCalendário,MONTH(NovDom1+7)=11),NovDom1+7,""),IF(AND(YEAR(NovDom1+14)=AnoDoCalendário,MONTH(NovDom1+14)=11),NovDom1+14,""))</f>
        <v>45605</v>
      </c>
      <c r="J7" s="5"/>
      <c r="K7" s="44">
        <f>IF(DAY(DezDom1)=1,IF(AND(YEAR(DezDom1+1)=AnoDoCalendário,MONTH(DezDom1+1)=12),DezDom1+1,""),IF(AND(YEAR(DezDom1+8)=AnoDoCalendário,MONTH(DezDom1+8)=12),DezDom1+8,""))</f>
        <v>45634</v>
      </c>
      <c r="L7" s="44">
        <f>IF(DAY(DezDom1)=1,IF(AND(YEAR(DezDom1+2)=AnoDoCalendário,MONTH(DezDom1+2)=12),DezDom1+2,""),IF(AND(YEAR(DezDom1+9)=AnoDoCalendário,MONTH(DezDom1+9)=12),DezDom1+9,""))</f>
        <v>45635</v>
      </c>
      <c r="M7" s="44">
        <f>IF(DAY(DezDom1)=1,IF(AND(YEAR(DezDom1+3)=AnoDoCalendário,MONTH(DezDom1+3)=12),DezDom1+3,""),IF(AND(YEAR(DezDom1+10)=AnoDoCalendário,MONTH(DezDom1+10)=12),DezDom1+10,""))</f>
        <v>45636</v>
      </c>
      <c r="N7" s="7">
        <f>IF(DAY(DezDom1)=1,IF(AND(YEAR(DezDom1+4)=AnoDoCalendário,MONTH(DezDom1+4)=12),DezDom1+4,""),IF(AND(YEAR(DezDom1+11)=AnoDoCalendário,MONTH(DezDom1+11)=12),DezDom1+11,""))</f>
        <v>45637</v>
      </c>
      <c r="O7" s="7">
        <f>IF(DAY(DezDom1)=1,IF(AND(YEAR(DezDom1+5)=AnoDoCalendário,MONTH(DezDom1+5)=12),DezDom1+5,""),IF(AND(YEAR(DezDom1+12)=AnoDoCalendário,MONTH(DezDom1+12)=12),DezDom1+12,""))</f>
        <v>45638</v>
      </c>
      <c r="P7" s="7">
        <f>IF(DAY(DezDom1)=1,IF(AND(YEAR(DezDom1+6)=AnoDoCalendário,MONTH(DezDom1+6)=12),DezDom1+6,""),IF(AND(YEAR(DezDom1+13)=AnoDoCalendário,MONTH(DezDom1+13)=12),DezDom1+13,""))</f>
        <v>45639</v>
      </c>
      <c r="Q7" s="7">
        <f>IF(DAY(DezDom1)=1,IF(AND(YEAR(DezDom1+7)=AnoDoCalendário,MONTH(DezDom1+7)=12),DezDom1+7,""),IF(AND(YEAR(DezDom1+14)=AnoDoCalendário,MONTH(DezDom1+14)=12),DezDom1+14,""))</f>
        <v>45640</v>
      </c>
      <c r="U7" s="129" t="s">
        <v>65</v>
      </c>
      <c r="W7" s="163" t="s">
        <v>16</v>
      </c>
      <c r="X7" s="171"/>
      <c r="Y7" s="171"/>
      <c r="Z7" s="171"/>
      <c r="AA7" s="172"/>
      <c r="AB7" s="25"/>
      <c r="AE7" s="138"/>
      <c r="AF7" s="38"/>
      <c r="AG7" s="115"/>
      <c r="AH7" s="116"/>
      <c r="AI7" s="116"/>
      <c r="AJ7" s="116"/>
      <c r="AK7" s="117"/>
      <c r="AL7" s="40"/>
    </row>
    <row r="8" spans="1:38" ht="15" customHeight="1" x14ac:dyDescent="0.2">
      <c r="C8" s="44">
        <f>IF(DAY(NovDom1)=1,IF(AND(YEAR(NovDom1+8)=AnoDoCalendário,MONTH(NovDom1+8)=11),NovDom1+8,""),IF(AND(YEAR(NovDom1+15)=AnoDoCalendário,MONTH(NovDom1+15)=11),NovDom1+15,""))</f>
        <v>45606</v>
      </c>
      <c r="D8" s="7">
        <f>IF(DAY(NovDom1)=1,IF(AND(YEAR(NovDom1+9)=AnoDoCalendário,MONTH(NovDom1+9)=11),NovDom1+9,""),IF(AND(YEAR(NovDom1+16)=AnoDoCalendário,MONTH(NovDom1+16)=11),NovDom1+16,""))</f>
        <v>45607</v>
      </c>
      <c r="E8" s="44">
        <f>IF(DAY(NovDom1)=1,IF(AND(YEAR(NovDom1+10)=AnoDoCalendário,MONTH(NovDom1+10)=11),NovDom1+10,""),IF(AND(YEAR(NovDom1+17)=AnoDoCalendário,MONTH(NovDom1+17)=11),NovDom1+17,""))</f>
        <v>45608</v>
      </c>
      <c r="F8" s="44">
        <f>IF(DAY(NovDom1)=1,IF(AND(YEAR(NovDom1+11)=AnoDoCalendário,MONTH(NovDom1+11)=11),NovDom1+11,""),IF(AND(YEAR(NovDom1+18)=AnoDoCalendário,MONTH(NovDom1+18)=11),NovDom1+18,""))</f>
        <v>45609</v>
      </c>
      <c r="G8" s="7">
        <f>IF(DAY(NovDom1)=1,IF(AND(YEAR(NovDom1+12)=AnoDoCalendário,MONTH(NovDom1+12)=11),NovDom1+12,""),IF(AND(YEAR(NovDom1+19)=AnoDoCalendário,MONTH(NovDom1+19)=11),NovDom1+19,""))</f>
        <v>45610</v>
      </c>
      <c r="H8" s="44">
        <f>IF(DAY(NovDom1)=1,IF(AND(YEAR(NovDom1+13)=AnoDoCalendário,MONTH(NovDom1+13)=11),NovDom1+13,""),IF(AND(YEAR(NovDom1+20)=AnoDoCalendário,MONTH(NovDom1+20)=11),NovDom1+20,""))</f>
        <v>45611</v>
      </c>
      <c r="I8" s="7">
        <f>IF(DAY(NovDom1)=1,IF(AND(YEAR(NovDom1+14)=AnoDoCalendário,MONTH(NovDom1+14)=11),NovDom1+14,""),IF(AND(YEAR(NovDom1+21)=AnoDoCalendário,MONTH(NovDom1+21)=11),NovDom1+21,""))</f>
        <v>45612</v>
      </c>
      <c r="J8" s="5"/>
      <c r="K8" s="7">
        <f>IF(DAY(DezDom1)=1,IF(AND(YEAR(DezDom1+8)=AnoDoCalendário,MONTH(DezDom1+8)=12),DezDom1+8,""),IF(AND(YEAR(DezDom1+15)=AnoDoCalendário,MONTH(DezDom1+15)=12),DezDom1+15,""))</f>
        <v>45641</v>
      </c>
      <c r="L8" s="7">
        <f>IF(DAY(DezDom1)=1,IF(AND(YEAR(DezDom1+9)=AnoDoCalendário,MONTH(DezDom1+9)=12),DezDom1+9,""),IF(AND(YEAR(DezDom1+16)=AnoDoCalendário,MONTH(DezDom1+16)=12),DezDom1+16,""))</f>
        <v>45642</v>
      </c>
      <c r="M8" s="7">
        <f>IF(DAY(DezDom1)=1,IF(AND(YEAR(DezDom1+10)=AnoDoCalendário,MONTH(DezDom1+10)=12),DezDom1+10,""),IF(AND(YEAR(DezDom1+17)=AnoDoCalendário,MONTH(DezDom1+17)=12),DezDom1+17,""))</f>
        <v>45643</v>
      </c>
      <c r="N8" s="44">
        <f>IF(DAY(DezDom1)=1,IF(AND(YEAR(DezDom1+11)=AnoDoCalendário,MONTH(DezDom1+11)=12),DezDom1+11,""),IF(AND(YEAR(DezDom1+18)=AnoDoCalendário,MONTH(DezDom1+18)=12),DezDom1+18,""))</f>
        <v>45644</v>
      </c>
      <c r="O8" s="7">
        <f>IF(DAY(DezDom1)=1,IF(AND(YEAR(DezDom1+12)=AnoDoCalendário,MONTH(DezDom1+12)=12),DezDom1+12,""),IF(AND(YEAR(DezDom1+19)=AnoDoCalendário,MONTH(DezDom1+19)=12),DezDom1+19,""))</f>
        <v>45645</v>
      </c>
      <c r="P8" s="44">
        <f>IF(DAY(DezDom1)=1,IF(AND(YEAR(DezDom1+13)=AnoDoCalendário,MONTH(DezDom1+13)=12),DezDom1+13,""),IF(AND(YEAR(DezDom1+20)=AnoDoCalendário,MONTH(DezDom1+20)=12),DezDom1+20,""))</f>
        <v>45646</v>
      </c>
      <c r="Q8" s="7">
        <f>IF(DAY(DezDom1)=1,IF(AND(YEAR(DezDom1+14)=AnoDoCalendário,MONTH(DezDom1+14)=12),DezDom1+14,""),IF(AND(YEAR(DezDom1+21)=AnoDoCalendário,MONTH(DezDom1+21)=12),DezDom1+21,""))</f>
        <v>45647</v>
      </c>
      <c r="U8" s="161"/>
      <c r="W8" s="173"/>
      <c r="X8" s="174"/>
      <c r="Y8" s="174"/>
      <c r="Z8" s="174"/>
      <c r="AA8" s="175"/>
      <c r="AB8" s="25"/>
      <c r="AE8" s="139"/>
      <c r="AF8" s="38"/>
      <c r="AG8" s="118"/>
      <c r="AH8" s="119"/>
      <c r="AI8" s="119"/>
      <c r="AJ8" s="119"/>
      <c r="AK8" s="120"/>
      <c r="AL8" s="40"/>
    </row>
    <row r="9" spans="1:38" ht="15" customHeight="1" x14ac:dyDescent="0.2">
      <c r="C9" s="44">
        <f>IF(DAY(NovDom1)=1,IF(AND(YEAR(NovDom1+15)=AnoDoCalendário,MONTH(NovDom1+15)=11),NovDom1+15,""),IF(AND(YEAR(NovDom1+22)=AnoDoCalendário,MONTH(NovDom1+22)=11),NovDom1+22,""))</f>
        <v>45613</v>
      </c>
      <c r="D9" s="44">
        <f>IF(DAY(NovDom1)=1,IF(AND(YEAR(NovDom1+16)=AnoDoCalendário,MONTH(NovDom1+16)=11),NovDom1+16,""),IF(AND(YEAR(NovDom1+23)=AnoDoCalendário,MONTH(NovDom1+23)=11),NovDom1+23,""))</f>
        <v>45614</v>
      </c>
      <c r="E9" s="7">
        <f>IF(DAY(NovDom1)=1,IF(AND(YEAR(NovDom1+17)=AnoDoCalendário,MONTH(NovDom1+17)=11),NovDom1+17,""),IF(AND(YEAR(NovDom1+24)=AnoDoCalendário,MONTH(NovDom1+24)=11),NovDom1+24,""))</f>
        <v>45615</v>
      </c>
      <c r="F9" s="44">
        <f>IF(DAY(NovDom1)=1,IF(AND(YEAR(NovDom1+18)=AnoDoCalendário,MONTH(NovDom1+18)=11),NovDom1+18,""),IF(AND(YEAR(NovDom1+25)=AnoDoCalendário,MONTH(NovDom1+25)=11),NovDom1+25,""))</f>
        <v>45616</v>
      </c>
      <c r="G9" s="7">
        <f>IF(DAY(NovDom1)=1,IF(AND(YEAR(NovDom1+19)=AnoDoCalendário,MONTH(NovDom1+19)=11),NovDom1+19,""),IF(AND(YEAR(NovDom1+26)=AnoDoCalendário,MONTH(NovDom1+26)=11),NovDom1+26,""))</f>
        <v>45617</v>
      </c>
      <c r="H9" s="44">
        <f>IF(DAY(NovDom1)=1,IF(AND(YEAR(NovDom1+20)=AnoDoCalendário,MONTH(NovDom1+20)=11),NovDom1+20,""),IF(AND(YEAR(NovDom1+27)=AnoDoCalendário,MONTH(NovDom1+27)=11),NovDom1+27,""))</f>
        <v>45618</v>
      </c>
      <c r="I9" s="44">
        <f>IF(DAY(NovDom1)=1,IF(AND(YEAR(NovDom1+21)=AnoDoCalendário,MONTH(NovDom1+21)=11),NovDom1+21,""),IF(AND(YEAR(NovDom1+28)=AnoDoCalendário,MONTH(NovDom1+28)=11),NovDom1+28,""))</f>
        <v>45619</v>
      </c>
      <c r="J9" s="5"/>
      <c r="K9" s="7">
        <f>IF(DAY(DezDom1)=1,IF(AND(YEAR(DezDom1+15)=AnoDoCalendário,MONTH(DezDom1+15)=12),DezDom1+15,""),IF(AND(YEAR(DezDom1+22)=AnoDoCalendário,MONTH(DezDom1+22)=12),DezDom1+22,""))</f>
        <v>45648</v>
      </c>
      <c r="L9" s="7">
        <f>IF(DAY(DezDom1)=1,IF(AND(YEAR(DezDom1+16)=AnoDoCalendário,MONTH(DezDom1+16)=12),DezDom1+16,""),IF(AND(YEAR(DezDom1+23)=AnoDoCalendário,MONTH(DezDom1+23)=12),DezDom1+23,""))</f>
        <v>45649</v>
      </c>
      <c r="M9" s="7">
        <f>IF(DAY(DezDom1)=1,IF(AND(YEAR(DezDom1+17)=AnoDoCalendário,MONTH(DezDom1+17)=12),DezDom1+17,""),IF(AND(YEAR(DezDom1+24)=AnoDoCalendário,MONTH(DezDom1+24)=12),DezDom1+24,""))</f>
        <v>45650</v>
      </c>
      <c r="N9" s="7">
        <f>IF(DAY(DezDom1)=1,IF(AND(YEAR(DezDom1+18)=AnoDoCalendário,MONTH(DezDom1+18)=12),DezDom1+18,""),IF(AND(YEAR(DezDom1+25)=AnoDoCalendário,MONTH(DezDom1+25)=12),DezDom1+25,""))</f>
        <v>45651</v>
      </c>
      <c r="O9" s="44">
        <f>IF(DAY(DezDom1)=1,IF(AND(YEAR(DezDom1+19)=AnoDoCalendário,MONTH(DezDom1+19)=12),DezDom1+19,""),IF(AND(YEAR(DezDom1+26)=AnoDoCalendário,MONTH(DezDom1+26)=12),DezDom1+26,""))</f>
        <v>45652</v>
      </c>
      <c r="P9" s="7">
        <f>IF(DAY(DezDom1)=1,IF(AND(YEAR(DezDom1+20)=AnoDoCalendário,MONTH(DezDom1+20)=12),DezDom1+20,""),IF(AND(YEAR(DezDom1+27)=AnoDoCalendário,MONTH(DezDom1+27)=12),DezDom1+27,""))</f>
        <v>45653</v>
      </c>
      <c r="Q9" s="7">
        <f>IF(DAY(DezDom1)=1,IF(AND(YEAR(DezDom1+21)=AnoDoCalendário,MONTH(DezDom1+21)=12),DezDom1+21,""),IF(AND(YEAR(DezDom1+28)=AnoDoCalendário,MONTH(DezDom1+28)=12),DezDom1+28,""))</f>
        <v>45654</v>
      </c>
      <c r="U9" s="161"/>
      <c r="W9" s="173"/>
      <c r="X9" s="174"/>
      <c r="Y9" s="174"/>
      <c r="Z9" s="174"/>
      <c r="AA9" s="175"/>
      <c r="AB9" s="25"/>
      <c r="AE9" s="139"/>
      <c r="AF9" s="38"/>
      <c r="AG9" s="118"/>
      <c r="AH9" s="119"/>
      <c r="AI9" s="119"/>
      <c r="AJ9" s="119"/>
      <c r="AK9" s="120"/>
      <c r="AL9" s="40"/>
    </row>
    <row r="10" spans="1:38" ht="15" customHeight="1" x14ac:dyDescent="0.2">
      <c r="C10" s="7">
        <f>IF(DAY(NovDom1)=1,IF(AND(YEAR(NovDom1+22)=AnoDoCalendário,MONTH(NovDom1+22)=11),NovDom1+22,""),IF(AND(YEAR(NovDom1+29)=AnoDoCalendário,MONTH(NovDom1+29)=11),NovDom1+29,""))</f>
        <v>45620</v>
      </c>
      <c r="D10" s="44">
        <f>IF(DAY(NovDom1)=1,IF(AND(YEAR(NovDom1+23)=AnoDoCalendário,MONTH(NovDom1+23)=11),NovDom1+23,""),IF(AND(YEAR(NovDom1+30)=AnoDoCalendário,MONTH(NovDom1+30)=11),NovDom1+30,""))</f>
        <v>45621</v>
      </c>
      <c r="E10" s="7">
        <f>IF(DAY(NovDom1)=1,IF(AND(YEAR(NovDom1+24)=AnoDoCalendário,MONTH(NovDom1+24)=11),NovDom1+24,""),IF(AND(YEAR(NovDom1+31)=AnoDoCalendário,MONTH(NovDom1+31)=11),NovDom1+31,""))</f>
        <v>45622</v>
      </c>
      <c r="F10" s="7">
        <f>IF(DAY(NovDom1)=1,IF(AND(YEAR(NovDom1+25)=AnoDoCalendário,MONTH(NovDom1+25)=11),NovDom1+25,""),IF(AND(YEAR(NovDom1+32)=AnoDoCalendário,MONTH(NovDom1+32)=11),NovDom1+32,""))</f>
        <v>45623</v>
      </c>
      <c r="G10" s="7">
        <f>IF(DAY(NovDom1)=1,IF(AND(YEAR(NovDom1+26)=AnoDoCalendário,MONTH(NovDom1+26)=11),NovDom1+26,""),IF(AND(YEAR(NovDom1+33)=AnoDoCalendário,MONTH(NovDom1+33)=11),NovDom1+33,""))</f>
        <v>45624</v>
      </c>
      <c r="H10" s="7">
        <f>IF(DAY(NovDom1)=1,IF(AND(YEAR(NovDom1+27)=AnoDoCalendário,MONTH(NovDom1+27)=11),NovDom1+27,""),IF(AND(YEAR(NovDom1+34)=AnoDoCalendário,MONTH(NovDom1+34)=11),NovDom1+34,""))</f>
        <v>45625</v>
      </c>
      <c r="I10" s="7">
        <f>IF(DAY(NovDom1)=1,IF(AND(YEAR(NovDom1+28)=AnoDoCalendário,MONTH(NovDom1+28)=11),NovDom1+28,""),IF(AND(YEAR(NovDom1+35)=AnoDoCalendário,MONTH(NovDom1+35)=11),NovDom1+35,""))</f>
        <v>45626</v>
      </c>
      <c r="J10" s="5"/>
      <c r="K10" s="7">
        <f>IF(DAY(DezDom1)=1,IF(AND(YEAR(DezDom1+22)=AnoDoCalendário,MONTH(DezDom1+22)=12),DezDom1+22,""),IF(AND(YEAR(DezDom1+29)=AnoDoCalendário,MONTH(DezDom1+29)=12),DezDom1+29,""))</f>
        <v>45655</v>
      </c>
      <c r="L10" s="44">
        <f>IF(DAY(DezDom1)=1,IF(AND(YEAR(DezDom1+23)=AnoDoCalendário,MONTH(DezDom1+23)=12),DezDom1+23,""),IF(AND(YEAR(DezDom1+30)=AnoDoCalendário,MONTH(DezDom1+30)=12),DezDom1+30,""))</f>
        <v>45656</v>
      </c>
      <c r="M10" s="7">
        <f>IF(DAY(DezDom1)=1,IF(AND(YEAR(DezDom1+24)=AnoDoCalendário,MONTH(DezDom1+24)=12),DezDom1+24,""),IF(AND(YEAR(DezDom1+31)=AnoDoCalendário,MONTH(DezDom1+31)=12),DezDom1+31,""))</f>
        <v>45657</v>
      </c>
      <c r="N10" s="7" t="str">
        <f>IF(DAY(DezDom1)=1,IF(AND(YEAR(DezDom1+25)=AnoDoCalendário,MONTH(DezDom1+25)=12),DezDom1+25,""),IF(AND(YEAR(DezDom1+32)=AnoDoCalendário,MONTH(DezDom1+32)=12),DezDom1+32,""))</f>
        <v/>
      </c>
      <c r="O10" s="7" t="str">
        <f>IF(DAY(DezDom1)=1,IF(AND(YEAR(DezDom1+26)=AnoDoCalendário,MONTH(DezDom1+26)=12),DezDom1+26,""),IF(AND(YEAR(DezDom1+33)=AnoDoCalendário,MONTH(DezDom1+33)=12),DezDom1+33,""))</f>
        <v/>
      </c>
      <c r="P10" s="7" t="str">
        <f>IF(DAY(DezDom1)=1,IF(AND(YEAR(DezDom1+27)=AnoDoCalendário,MONTH(DezDom1+27)=12),DezDom1+27,""),IF(AND(YEAR(DezDom1+34)=AnoDoCalendário,MONTH(DezDom1+34)=12),DezDom1+34,""))</f>
        <v/>
      </c>
      <c r="Q10" s="7" t="str">
        <f>IF(DAY(DezDom1)=1,IF(AND(YEAR(DezDom1+28)=AnoDoCalendário,MONTH(DezDom1+28)=12),DezDom1+28,""),IF(AND(YEAR(DezDom1+35)=AnoDoCalendário,MONTH(DezDom1+35)=12),DezDom1+35,""))</f>
        <v/>
      </c>
      <c r="U10" s="161"/>
      <c r="W10" s="173"/>
      <c r="X10" s="174"/>
      <c r="Y10" s="174"/>
      <c r="Z10" s="174"/>
      <c r="AA10" s="175"/>
      <c r="AB10" s="25"/>
      <c r="AE10" s="139"/>
      <c r="AF10" s="38"/>
      <c r="AG10" s="118"/>
      <c r="AH10" s="119"/>
      <c r="AI10" s="119"/>
      <c r="AJ10" s="119"/>
      <c r="AK10" s="120"/>
      <c r="AL10" s="40"/>
    </row>
    <row r="11" spans="1:38" ht="15" customHeight="1" x14ac:dyDescent="0.2">
      <c r="C11" s="7" t="str">
        <f>IF(DAY(NovDom1)=1,IF(AND(YEAR(NovDom1+29)=AnoDoCalendário,MONTH(NovDom1+29)=11),NovDom1+29,""),IF(AND(YEAR(NovDom1+36)=AnoDoCalendário,MONTH(NovDom1+36)=11),NovDom1+36,""))</f>
        <v/>
      </c>
      <c r="D11" s="7" t="str">
        <f>IF(DAY(NovDom1)=1,IF(AND(YEAR(NovDom1+30)=AnoDoCalendário,MONTH(NovDom1+30)=11),NovDom1+30,""),IF(AND(YEAR(NovDom1+37)=AnoDoCalendário,MONTH(NovDom1+37)=11),NovDom1+37,""))</f>
        <v/>
      </c>
      <c r="E11" s="7" t="str">
        <f>IF(DAY(NovDom1)=1,IF(AND(YEAR(NovDom1+31)=AnoDoCalendário,MONTH(NovDom1+31)=11),NovDom1+31,""),IF(AND(YEAR(NovDom1+38)=AnoDoCalendário,MONTH(NovDom1+38)=11),NovDom1+38,""))</f>
        <v/>
      </c>
      <c r="F11" s="7" t="str">
        <f>IF(DAY(NovDom1)=1,IF(AND(YEAR(NovDom1+32)=AnoDoCalendário,MONTH(NovDom1+32)=11),NovDom1+32,""),IF(AND(YEAR(NovDom1+39)=AnoDoCalendário,MONTH(NovDom1+39)=11),NovDom1+39,""))</f>
        <v/>
      </c>
      <c r="G11" s="7" t="str">
        <f>IF(DAY(NovDom1)=1,IF(AND(YEAR(NovDom1+33)=AnoDoCalendário,MONTH(NovDom1+33)=11),NovDom1+33,""),IF(AND(YEAR(NovDom1+40)=AnoDoCalendário,MONTH(NovDom1+40)=11),NovDom1+40,""))</f>
        <v/>
      </c>
      <c r="H11" s="7" t="str">
        <f>IF(DAY(NovDom1)=1,IF(AND(YEAR(NovDom1+34)=AnoDoCalendário,MONTH(NovDom1+34)=11),NovDom1+34,""),IF(AND(YEAR(NovDom1+41)=AnoDoCalendário,MONTH(NovDom1+41)=11),NovDom1+41,""))</f>
        <v/>
      </c>
      <c r="I11" s="7" t="str">
        <f>IF(DAY(NovDom1)=1,IF(AND(YEAR(NovDom1+35)=AnoDoCalendário,MONTH(NovDom1+35)=11),NovDom1+35,""),IF(AND(YEAR(NovDom1+42)=AnoDoCalendário,MONTH(NovDom1+42)=11),NovDom1+42,""))</f>
        <v/>
      </c>
      <c r="J11" s="5"/>
      <c r="K11" s="7" t="str">
        <f>IF(DAY(DezDom1)=1,IF(AND(YEAR(DezDom1+29)=AnoDoCalendário,MONTH(DezDom1+29)=12),DezDom1+29,""),IF(AND(YEAR(DezDom1+36)=AnoDoCalendário,MONTH(DezDom1+36)=12),DezDom1+36,""))</f>
        <v/>
      </c>
      <c r="L11" s="7" t="str">
        <f>IF(DAY(DezDom1)=1,IF(AND(YEAR(DezDom1+30)=AnoDoCalendário,MONTH(DezDom1+30)=12),DezDom1+30,""),IF(AND(YEAR(DezDom1+37)=AnoDoCalendário,MONTH(DezDom1+37)=12),DezDom1+37,""))</f>
        <v/>
      </c>
      <c r="M11" s="7" t="str">
        <f>IF(DAY(DezDom1)=1,IF(AND(YEAR(DezDom1+31)=AnoDoCalendário,MONTH(DezDom1+31)=12),DezDom1+31,""),IF(AND(YEAR(DezDom1+38)=AnoDoCalendário,MONTH(DezDom1+38)=12),DezDom1+38,""))</f>
        <v/>
      </c>
      <c r="N11" s="7" t="str">
        <f>IF(DAY(DezDom1)=1,IF(AND(YEAR(DezDom1+32)=AnoDoCalendário,MONTH(DezDom1+32)=12),DezDom1+32,""),IF(AND(YEAR(DezDom1+39)=AnoDoCalendário,MONTH(DezDom1+39)=12),DezDom1+39,""))</f>
        <v/>
      </c>
      <c r="O11" s="7" t="str">
        <f>IF(DAY(DezDom1)=1,IF(AND(YEAR(DezDom1+33)=AnoDoCalendário,MONTH(DezDom1+33)=12),DezDom1+33,""),IF(AND(YEAR(DezDom1+40)=AnoDoCalendário,MONTH(DezDom1+40)=12),DezDom1+40,""))</f>
        <v/>
      </c>
      <c r="P11" s="7" t="str">
        <f>IF(DAY(DezDom1)=1,IF(AND(YEAR(DezDom1+34)=AnoDoCalendário,MONTH(DezDom1+34)=12),DezDom1+34,""),IF(AND(YEAR(DezDom1+41)=AnoDoCalendário,MONTH(DezDom1+41)=12),DezDom1+41,""))</f>
        <v/>
      </c>
      <c r="Q11" s="7" t="str">
        <f>IF(DAY(DezDom1)=1,IF(AND(YEAR(DezDom1+35)=AnoDoCalendário,MONTH(DezDom1+35)=12),DezDom1+35,""),IF(AND(YEAR(DezDom1+42)=AnoDoCalendário,MONTH(DezDom1+42)=12),DezDom1+42,""))</f>
        <v/>
      </c>
      <c r="U11" s="162"/>
      <c r="W11" s="176"/>
      <c r="X11" s="177"/>
      <c r="Y11" s="177"/>
      <c r="Z11" s="177"/>
      <c r="AA11" s="178"/>
      <c r="AB11" s="25"/>
      <c r="AE11" s="140"/>
      <c r="AF11" s="38"/>
      <c r="AG11" s="121"/>
      <c r="AH11" s="122"/>
      <c r="AI11" s="122"/>
      <c r="AJ11" s="122"/>
      <c r="AK11" s="123"/>
      <c r="AL11" s="40"/>
    </row>
    <row r="12" spans="1:38" ht="15" customHeight="1" x14ac:dyDescent="0.2">
      <c r="B12" s="15"/>
      <c r="C12" s="16"/>
      <c r="D12" s="16"/>
      <c r="E12" s="16"/>
      <c r="F12" s="16"/>
      <c r="G12" s="16"/>
      <c r="H12" s="16"/>
      <c r="I12" s="16"/>
      <c r="J12" s="15"/>
      <c r="K12" s="15"/>
      <c r="L12" s="15"/>
      <c r="M12" s="15"/>
      <c r="N12" s="15"/>
      <c r="O12" s="15"/>
      <c r="P12" s="15"/>
      <c r="Q12" s="15"/>
      <c r="R12" s="22"/>
      <c r="U12" s="1"/>
      <c r="AE12" s="56"/>
      <c r="AF12" s="38"/>
      <c r="AG12" s="38"/>
      <c r="AH12" s="38"/>
      <c r="AI12" s="38"/>
      <c r="AJ12" s="38"/>
      <c r="AK12" s="38"/>
      <c r="AL12" s="40"/>
    </row>
    <row r="13" spans="1:38" ht="15" customHeight="1" x14ac:dyDescent="0.25">
      <c r="B13" s="5"/>
      <c r="D13" s="19"/>
      <c r="K13" s="21"/>
      <c r="L13" s="21"/>
      <c r="U13" s="12" t="s">
        <v>17</v>
      </c>
      <c r="W13" s="12" t="s">
        <v>18</v>
      </c>
      <c r="X13" s="12"/>
      <c r="Y13" s="12"/>
      <c r="Z13" s="12"/>
      <c r="AA13" s="12"/>
      <c r="AB13" s="18"/>
      <c r="AE13" s="38" t="s">
        <v>17</v>
      </c>
      <c r="AF13" s="38"/>
      <c r="AG13" s="38" t="s">
        <v>18</v>
      </c>
      <c r="AH13" s="38"/>
      <c r="AI13" s="38"/>
      <c r="AJ13" s="38"/>
      <c r="AK13" s="38"/>
      <c r="AL13" s="40"/>
    </row>
    <row r="14" spans="1:38" ht="16.5" customHeight="1" x14ac:dyDescent="0.2">
      <c r="B14" s="182"/>
      <c r="C14" s="26" t="s">
        <v>20</v>
      </c>
      <c r="D14" s="26"/>
      <c r="E14" s="80"/>
      <c r="F14" s="80"/>
      <c r="G14" s="80"/>
      <c r="H14" s="27" t="s">
        <v>19</v>
      </c>
      <c r="I14" s="27"/>
      <c r="J14" s="28" t="s">
        <v>21</v>
      </c>
      <c r="L14" s="26" t="s">
        <v>20</v>
      </c>
      <c r="M14" s="80"/>
      <c r="N14" s="27"/>
      <c r="O14" s="27" t="s">
        <v>19</v>
      </c>
      <c r="P14" s="27"/>
      <c r="Q14" s="28" t="s">
        <v>21</v>
      </c>
      <c r="U14" s="143" t="s">
        <v>22</v>
      </c>
      <c r="W14" s="163" t="s">
        <v>66</v>
      </c>
      <c r="X14" s="164"/>
      <c r="Y14" s="164"/>
      <c r="Z14" s="164"/>
      <c r="AA14" s="165"/>
      <c r="AB14" s="25"/>
      <c r="AE14" s="151"/>
      <c r="AF14" s="38"/>
      <c r="AG14" s="115"/>
      <c r="AH14" s="116"/>
      <c r="AI14" s="116"/>
      <c r="AJ14" s="116"/>
      <c r="AK14" s="117"/>
      <c r="AL14" s="40"/>
    </row>
    <row r="15" spans="1:38" ht="16.5" customHeight="1" x14ac:dyDescent="0.2">
      <c r="B15" s="183"/>
      <c r="C15" s="29" t="s">
        <v>67</v>
      </c>
      <c r="D15" s="84"/>
      <c r="E15" s="35"/>
      <c r="F15" s="35"/>
      <c r="G15" s="35"/>
      <c r="H15" s="160">
        <v>45231</v>
      </c>
      <c r="I15" s="160"/>
      <c r="J15" s="73" t="s">
        <v>24</v>
      </c>
      <c r="L15" s="32" t="s">
        <v>68</v>
      </c>
      <c r="M15" s="86"/>
      <c r="N15" s="32"/>
      <c r="O15" s="159">
        <v>45262</v>
      </c>
      <c r="P15" s="159"/>
      <c r="Q15" s="73" t="s">
        <v>24</v>
      </c>
      <c r="U15" s="144"/>
      <c r="W15" s="166"/>
      <c r="X15" s="135"/>
      <c r="Y15" s="135"/>
      <c r="Z15" s="135"/>
      <c r="AA15" s="167"/>
      <c r="AB15" s="25"/>
      <c r="AE15" s="152"/>
      <c r="AF15" s="38"/>
      <c r="AG15" s="118"/>
      <c r="AH15" s="119"/>
      <c r="AI15" s="119"/>
      <c r="AJ15" s="119"/>
      <c r="AK15" s="120"/>
      <c r="AL15" s="40"/>
    </row>
    <row r="16" spans="1:38" ht="16.5" customHeight="1" x14ac:dyDescent="0.2">
      <c r="B16" s="183"/>
      <c r="C16" s="32" t="s">
        <v>69</v>
      </c>
      <c r="H16" s="159">
        <v>45232</v>
      </c>
      <c r="I16" s="159"/>
      <c r="J16" s="73" t="s">
        <v>24</v>
      </c>
      <c r="L16" s="29" t="s">
        <v>70</v>
      </c>
      <c r="M16" s="29"/>
      <c r="N16" s="29"/>
      <c r="O16" s="160">
        <v>45262</v>
      </c>
      <c r="P16" s="160"/>
      <c r="Q16" s="73" t="s">
        <v>24</v>
      </c>
      <c r="U16" s="144"/>
      <c r="W16" s="166"/>
      <c r="X16" s="135"/>
      <c r="Y16" s="135"/>
      <c r="Z16" s="135"/>
      <c r="AA16" s="167"/>
      <c r="AB16" s="25"/>
      <c r="AE16" s="152"/>
      <c r="AF16" s="38"/>
      <c r="AG16" s="118"/>
      <c r="AH16" s="119"/>
      <c r="AI16" s="119"/>
      <c r="AJ16" s="119"/>
      <c r="AK16" s="120"/>
      <c r="AL16" s="40"/>
    </row>
    <row r="17" spans="1:45" ht="16.5" customHeight="1" x14ac:dyDescent="0.2">
      <c r="B17" s="183"/>
      <c r="C17" s="29" t="s">
        <v>71</v>
      </c>
      <c r="D17" s="85"/>
      <c r="E17" s="35"/>
      <c r="F17" s="35"/>
      <c r="G17" s="35"/>
      <c r="H17" s="160">
        <v>45234</v>
      </c>
      <c r="I17" s="160"/>
      <c r="J17" s="73" t="s">
        <v>24</v>
      </c>
      <c r="L17" s="32" t="s">
        <v>72</v>
      </c>
      <c r="M17" s="32"/>
      <c r="N17" s="32"/>
      <c r="O17" s="159">
        <v>45263</v>
      </c>
      <c r="P17" s="159"/>
      <c r="Q17" s="73" t="s">
        <v>24</v>
      </c>
      <c r="U17" s="144"/>
      <c r="W17" s="166"/>
      <c r="X17" s="135"/>
      <c r="Y17" s="135"/>
      <c r="Z17" s="135"/>
      <c r="AA17" s="167"/>
      <c r="AB17" s="25"/>
      <c r="AE17" s="152"/>
      <c r="AF17" s="38"/>
      <c r="AG17" s="118"/>
      <c r="AH17" s="119"/>
      <c r="AI17" s="119"/>
      <c r="AJ17" s="119"/>
      <c r="AK17" s="120"/>
      <c r="AL17" s="40"/>
    </row>
    <row r="18" spans="1:45" ht="16.5" customHeight="1" x14ac:dyDescent="0.2">
      <c r="B18" s="183"/>
      <c r="C18" s="32" t="s">
        <v>73</v>
      </c>
      <c r="D18" s="32"/>
      <c r="H18" s="159">
        <v>45235</v>
      </c>
      <c r="I18" s="159"/>
      <c r="J18" s="73" t="s">
        <v>24</v>
      </c>
      <c r="L18" s="29" t="s">
        <v>74</v>
      </c>
      <c r="M18" s="29"/>
      <c r="N18" s="84"/>
      <c r="O18" s="160">
        <v>45264</v>
      </c>
      <c r="P18" s="160"/>
      <c r="Q18" s="73" t="s">
        <v>24</v>
      </c>
      <c r="U18" s="144"/>
      <c r="W18" s="166"/>
      <c r="X18" s="135"/>
      <c r="Y18" s="135"/>
      <c r="Z18" s="135"/>
      <c r="AA18" s="167"/>
      <c r="AB18" s="25"/>
      <c r="AE18" s="152"/>
      <c r="AF18" s="38"/>
      <c r="AG18" s="118"/>
      <c r="AH18" s="119"/>
      <c r="AI18" s="119"/>
      <c r="AJ18" s="119"/>
      <c r="AK18" s="120"/>
      <c r="AL18" s="40"/>
    </row>
    <row r="19" spans="1:45" ht="16.5" customHeight="1" x14ac:dyDescent="0.2">
      <c r="C19" s="29" t="s">
        <v>75</v>
      </c>
      <c r="D19" s="29"/>
      <c r="E19" s="35"/>
      <c r="F19" s="35"/>
      <c r="G19" s="35"/>
      <c r="H19" s="160">
        <v>45235</v>
      </c>
      <c r="I19" s="160"/>
      <c r="J19" s="73" t="s">
        <v>24</v>
      </c>
      <c r="L19" s="32" t="s">
        <v>76</v>
      </c>
      <c r="M19" s="32"/>
      <c r="N19" s="88"/>
      <c r="O19" s="159">
        <v>45265</v>
      </c>
      <c r="P19" s="159"/>
      <c r="Q19" s="73" t="s">
        <v>24</v>
      </c>
      <c r="U19" s="144"/>
      <c r="W19" s="166"/>
      <c r="X19" s="135"/>
      <c r="Y19" s="135"/>
      <c r="Z19" s="135"/>
      <c r="AA19" s="167"/>
      <c r="AB19" s="25"/>
      <c r="AE19" s="152"/>
      <c r="AF19" s="38"/>
      <c r="AG19" s="118"/>
      <c r="AH19" s="119"/>
      <c r="AI19" s="119"/>
      <c r="AJ19" s="119"/>
      <c r="AK19" s="120"/>
      <c r="AL19" s="40"/>
    </row>
    <row r="20" spans="1:45" ht="16.5" customHeight="1" x14ac:dyDescent="0.2">
      <c r="C20" s="32" t="s">
        <v>77</v>
      </c>
      <c r="D20" s="32"/>
      <c r="H20" s="159">
        <v>45236</v>
      </c>
      <c r="I20" s="159"/>
      <c r="J20" s="73" t="s">
        <v>24</v>
      </c>
      <c r="L20" s="29" t="s">
        <v>78</v>
      </c>
      <c r="M20" s="29"/>
      <c r="N20" s="87"/>
      <c r="O20" s="160">
        <v>45273</v>
      </c>
      <c r="P20" s="160"/>
      <c r="Q20" s="73" t="s">
        <v>24</v>
      </c>
      <c r="U20" s="145"/>
      <c r="W20" s="168"/>
      <c r="X20" s="169"/>
      <c r="Y20" s="169"/>
      <c r="Z20" s="169"/>
      <c r="AA20" s="170"/>
      <c r="AB20" s="25"/>
      <c r="AE20" s="153"/>
      <c r="AF20" s="38"/>
      <c r="AG20" s="121"/>
      <c r="AH20" s="122"/>
      <c r="AI20" s="122"/>
      <c r="AJ20" s="122"/>
      <c r="AK20" s="123"/>
      <c r="AL20" s="40"/>
    </row>
    <row r="21" spans="1:45" s="4" customFormat="1" ht="16.5" customHeight="1" x14ac:dyDescent="0.2">
      <c r="A21" s="47"/>
      <c r="B21"/>
      <c r="C21" s="29" t="s">
        <v>79</v>
      </c>
      <c r="D21" s="29"/>
      <c r="E21" s="35"/>
      <c r="F21" s="35"/>
      <c r="G21" s="35"/>
      <c r="H21" s="160">
        <v>45239</v>
      </c>
      <c r="I21" s="160"/>
      <c r="J21" s="73" t="s">
        <v>24</v>
      </c>
      <c r="K21"/>
      <c r="L21" s="32" t="s">
        <v>80</v>
      </c>
      <c r="M21" s="32"/>
      <c r="N21" s="88"/>
      <c r="O21" s="159">
        <v>45275</v>
      </c>
      <c r="P21" s="159"/>
      <c r="Q21" s="73" t="s">
        <v>24</v>
      </c>
      <c r="R21"/>
      <c r="S21" s="43"/>
      <c r="T21" s="17"/>
      <c r="U21" s="8"/>
      <c r="V21" s="8"/>
      <c r="W21" s="8"/>
      <c r="X21" s="8"/>
      <c r="Y21" s="8"/>
      <c r="Z21" s="8"/>
      <c r="AA21" s="8"/>
      <c r="AB21" s="17"/>
      <c r="AC21"/>
      <c r="AD21" s="17"/>
      <c r="AE21" s="60"/>
      <c r="AF21" s="60"/>
      <c r="AG21" s="60"/>
      <c r="AH21" s="60"/>
      <c r="AI21" s="60"/>
      <c r="AJ21" s="60"/>
      <c r="AK21" s="60"/>
      <c r="AL21" s="40"/>
      <c r="AM21"/>
      <c r="AN21"/>
      <c r="AO21"/>
      <c r="AP21"/>
      <c r="AQ21"/>
      <c r="AR21"/>
      <c r="AS21"/>
    </row>
    <row r="22" spans="1:45" s="4" customFormat="1" ht="16.5" customHeight="1" x14ac:dyDescent="0.2">
      <c r="A22" s="47"/>
      <c r="B22"/>
      <c r="C22" s="32" t="s">
        <v>81</v>
      </c>
      <c r="D22" s="32"/>
      <c r="E22"/>
      <c r="F22"/>
      <c r="G22"/>
      <c r="H22" s="159">
        <v>45240</v>
      </c>
      <c r="I22" s="159"/>
      <c r="J22" s="73" t="s">
        <v>24</v>
      </c>
      <c r="K22"/>
      <c r="L22" s="29" t="s">
        <v>82</v>
      </c>
      <c r="M22" s="29"/>
      <c r="N22" s="87"/>
      <c r="O22" s="160">
        <v>45281</v>
      </c>
      <c r="P22" s="160"/>
      <c r="Q22" s="73" t="s">
        <v>24</v>
      </c>
      <c r="R22"/>
      <c r="S22" s="43"/>
      <c r="T22" s="17"/>
      <c r="U22" s="38" t="s">
        <v>27</v>
      </c>
      <c r="V22" s="38"/>
      <c r="W22" s="38"/>
      <c r="X22" s="38"/>
      <c r="Y22" s="38"/>
      <c r="Z22" s="38"/>
      <c r="AA22" s="38"/>
      <c r="AB22" s="17"/>
      <c r="AC22"/>
      <c r="AD22" s="17"/>
      <c r="AE22" s="47" t="s">
        <v>27</v>
      </c>
      <c r="AF22" s="47"/>
      <c r="AG22" s="47"/>
      <c r="AH22" s="47"/>
      <c r="AI22" s="47"/>
      <c r="AJ22" s="47"/>
      <c r="AK22" s="47"/>
      <c r="AL22" s="40"/>
      <c r="AM22"/>
      <c r="AN22"/>
      <c r="AO22"/>
      <c r="AP22"/>
      <c r="AQ22"/>
      <c r="AR22"/>
      <c r="AS22"/>
    </row>
    <row r="23" spans="1:45" s="4" customFormat="1" ht="16.5" customHeight="1" x14ac:dyDescent="0.2">
      <c r="A23" s="47"/>
      <c r="B23"/>
      <c r="C23" s="29" t="s">
        <v>83</v>
      </c>
      <c r="D23" s="29"/>
      <c r="E23" s="35"/>
      <c r="F23" s="35"/>
      <c r="G23" s="35"/>
      <c r="H23" s="160">
        <v>45242</v>
      </c>
      <c r="I23" s="160"/>
      <c r="J23" s="73" t="s">
        <v>24</v>
      </c>
      <c r="K23"/>
      <c r="L23"/>
      <c r="M23"/>
      <c r="N23"/>
      <c r="O23"/>
      <c r="P23"/>
      <c r="Q23"/>
      <c r="R23"/>
      <c r="S23" s="43"/>
      <c r="T23" s="17"/>
      <c r="U23" s="55" t="s">
        <v>13</v>
      </c>
      <c r="V23" s="38"/>
      <c r="W23" s="38" t="s">
        <v>14</v>
      </c>
      <c r="X23" s="38"/>
      <c r="Y23" s="38"/>
      <c r="Z23" s="38"/>
      <c r="AA23" s="38"/>
      <c r="AB23" s="18"/>
      <c r="AC23"/>
      <c r="AD23" s="18"/>
      <c r="AE23" s="58" t="s">
        <v>13</v>
      </c>
      <c r="AF23" s="47"/>
      <c r="AG23" s="47" t="s">
        <v>14</v>
      </c>
      <c r="AH23" s="47"/>
      <c r="AI23" s="47"/>
      <c r="AJ23" s="47"/>
      <c r="AK23" s="47"/>
      <c r="AL23" s="40"/>
      <c r="AM23"/>
      <c r="AN23"/>
      <c r="AO23"/>
      <c r="AP23"/>
      <c r="AQ23"/>
      <c r="AR23"/>
      <c r="AS23"/>
    </row>
    <row r="24" spans="1:45" s="4" customFormat="1" ht="16.5" customHeight="1" x14ac:dyDescent="0.2">
      <c r="A24" s="47"/>
      <c r="B24"/>
      <c r="C24" s="32" t="s">
        <v>84</v>
      </c>
      <c r="D24" s="32"/>
      <c r="E24"/>
      <c r="F24"/>
      <c r="G24"/>
      <c r="H24" s="159">
        <v>45242</v>
      </c>
      <c r="I24" s="159"/>
      <c r="J24" s="73" t="s">
        <v>24</v>
      </c>
      <c r="K24"/>
      <c r="L24"/>
      <c r="M24"/>
      <c r="N24"/>
      <c r="O24"/>
      <c r="P24"/>
      <c r="Q24"/>
      <c r="R24"/>
      <c r="S24" s="43"/>
      <c r="T24" s="17"/>
      <c r="U24" s="138"/>
      <c r="V24" s="38"/>
      <c r="W24" s="115"/>
      <c r="X24" s="116"/>
      <c r="Y24" s="116"/>
      <c r="Z24" s="116"/>
      <c r="AA24" s="117"/>
      <c r="AB24" s="25"/>
      <c r="AC24"/>
      <c r="AD24" s="17"/>
      <c r="AE24" s="138"/>
      <c r="AF24" s="47"/>
      <c r="AG24" s="115"/>
      <c r="AH24" s="116"/>
      <c r="AI24" s="116"/>
      <c r="AJ24" s="116"/>
      <c r="AK24" s="117"/>
      <c r="AL24" s="40"/>
      <c r="AM24"/>
      <c r="AN24"/>
      <c r="AO24"/>
      <c r="AP24"/>
      <c r="AQ24"/>
      <c r="AR24"/>
      <c r="AS24"/>
    </row>
    <row r="25" spans="1:45" s="4" customFormat="1" ht="16.5" customHeight="1" x14ac:dyDescent="0.2">
      <c r="A25" s="47"/>
      <c r="B25"/>
      <c r="C25" s="29" t="s">
        <v>85</v>
      </c>
      <c r="D25" s="29"/>
      <c r="E25" s="35"/>
      <c r="F25" s="35"/>
      <c r="G25" s="35"/>
      <c r="H25" s="160">
        <v>45242</v>
      </c>
      <c r="I25" s="160"/>
      <c r="J25" s="73" t="s">
        <v>24</v>
      </c>
      <c r="K25"/>
      <c r="L25"/>
      <c r="M25"/>
      <c r="N25"/>
      <c r="O25"/>
      <c r="P25"/>
      <c r="Q25"/>
      <c r="R25"/>
      <c r="S25" s="43"/>
      <c r="T25" s="17"/>
      <c r="U25" s="139"/>
      <c r="V25" s="38"/>
      <c r="W25" s="118"/>
      <c r="X25" s="119"/>
      <c r="Y25" s="119"/>
      <c r="Z25" s="119"/>
      <c r="AA25" s="120"/>
      <c r="AB25" s="25"/>
      <c r="AC25"/>
      <c r="AD25" s="17"/>
      <c r="AE25" s="139"/>
      <c r="AF25" s="47"/>
      <c r="AG25" s="118"/>
      <c r="AH25" s="119"/>
      <c r="AI25" s="119"/>
      <c r="AJ25" s="119"/>
      <c r="AK25" s="120"/>
      <c r="AL25" s="40"/>
      <c r="AM25"/>
      <c r="AN25"/>
      <c r="AO25"/>
      <c r="AP25"/>
      <c r="AQ25"/>
      <c r="AR25"/>
      <c r="AS25"/>
    </row>
    <row r="26" spans="1:45" ht="16.5" customHeight="1" x14ac:dyDescent="0.2">
      <c r="C26" s="32" t="s">
        <v>86</v>
      </c>
      <c r="D26" s="32"/>
      <c r="H26" s="159">
        <v>45242</v>
      </c>
      <c r="I26" s="159"/>
      <c r="J26" s="73" t="s">
        <v>24</v>
      </c>
      <c r="U26" s="139"/>
      <c r="V26" s="38"/>
      <c r="W26" s="118"/>
      <c r="X26" s="119"/>
      <c r="Y26" s="119"/>
      <c r="Z26" s="119"/>
      <c r="AA26" s="120"/>
      <c r="AB26" s="25"/>
      <c r="AE26" s="139"/>
      <c r="AF26" s="47"/>
      <c r="AG26" s="118"/>
      <c r="AH26" s="119"/>
      <c r="AI26" s="119"/>
      <c r="AJ26" s="119"/>
      <c r="AK26" s="120"/>
      <c r="AL26" s="40"/>
    </row>
    <row r="27" spans="1:45" ht="16.5" customHeight="1" x14ac:dyDescent="0.2">
      <c r="C27" s="29" t="s">
        <v>87</v>
      </c>
      <c r="D27" s="29"/>
      <c r="E27" s="35"/>
      <c r="F27" s="35"/>
      <c r="G27" s="35"/>
      <c r="H27" s="160">
        <v>45244</v>
      </c>
      <c r="I27" s="160"/>
      <c r="J27" s="73" t="s">
        <v>24</v>
      </c>
      <c r="U27" s="139"/>
      <c r="V27" s="38"/>
      <c r="W27" s="118"/>
      <c r="X27" s="119"/>
      <c r="Y27" s="119"/>
      <c r="Z27" s="119"/>
      <c r="AA27" s="120"/>
      <c r="AB27" s="25"/>
      <c r="AE27" s="139"/>
      <c r="AF27" s="47"/>
      <c r="AG27" s="118"/>
      <c r="AH27" s="119"/>
      <c r="AI27" s="119"/>
      <c r="AJ27" s="119"/>
      <c r="AK27" s="120"/>
      <c r="AL27" s="40"/>
    </row>
    <row r="28" spans="1:45" ht="16.5" customHeight="1" x14ac:dyDescent="0.2">
      <c r="C28" s="32" t="s">
        <v>88</v>
      </c>
      <c r="D28" s="32"/>
      <c r="H28" s="159">
        <v>45245</v>
      </c>
      <c r="I28" s="159"/>
      <c r="J28" s="73" t="s">
        <v>24</v>
      </c>
      <c r="U28" s="140"/>
      <c r="V28" s="38"/>
      <c r="W28" s="121"/>
      <c r="X28" s="122"/>
      <c r="Y28" s="122"/>
      <c r="Z28" s="122"/>
      <c r="AA28" s="123"/>
      <c r="AB28" s="25"/>
      <c r="AE28" s="140"/>
      <c r="AF28" s="47"/>
      <c r="AG28" s="121"/>
      <c r="AH28" s="122"/>
      <c r="AI28" s="122"/>
      <c r="AJ28" s="122"/>
      <c r="AK28" s="123"/>
      <c r="AL28" s="40"/>
    </row>
    <row r="29" spans="1:45" ht="16.5" customHeight="1" x14ac:dyDescent="0.2">
      <c r="C29" s="29" t="s">
        <v>89</v>
      </c>
      <c r="D29" s="29"/>
      <c r="E29" s="35"/>
      <c r="F29" s="35"/>
      <c r="G29" s="35"/>
      <c r="H29" s="160">
        <v>45247</v>
      </c>
      <c r="I29" s="160"/>
      <c r="J29" s="73" t="s">
        <v>24</v>
      </c>
      <c r="U29" s="56"/>
      <c r="V29" s="38"/>
      <c r="W29" s="38"/>
      <c r="X29" s="38"/>
      <c r="Y29" s="38"/>
      <c r="Z29" s="38"/>
      <c r="AA29" s="38"/>
      <c r="AE29" s="59"/>
      <c r="AF29" s="47"/>
      <c r="AG29" s="47"/>
      <c r="AH29" s="47"/>
      <c r="AI29" s="47"/>
      <c r="AJ29" s="47"/>
      <c r="AK29" s="47"/>
      <c r="AL29" s="40"/>
    </row>
    <row r="30" spans="1:45" ht="16.5" customHeight="1" x14ac:dyDescent="0.2">
      <c r="C30" s="32" t="s">
        <v>90</v>
      </c>
      <c r="D30" s="32"/>
      <c r="H30" s="159">
        <v>45249</v>
      </c>
      <c r="I30" s="159"/>
      <c r="J30" s="73" t="s">
        <v>24</v>
      </c>
      <c r="U30" s="38" t="s">
        <v>17</v>
      </c>
      <c r="V30" s="38"/>
      <c r="W30" s="38" t="s">
        <v>18</v>
      </c>
      <c r="X30" s="38"/>
      <c r="Y30" s="38"/>
      <c r="Z30" s="38"/>
      <c r="AA30" s="38"/>
      <c r="AB30" s="18"/>
      <c r="AD30" s="18"/>
      <c r="AE30" s="47" t="s">
        <v>17</v>
      </c>
      <c r="AF30" s="47"/>
      <c r="AG30" s="47" t="s">
        <v>18</v>
      </c>
      <c r="AH30" s="47"/>
      <c r="AI30" s="47"/>
      <c r="AJ30" s="47"/>
      <c r="AK30" s="47"/>
      <c r="AL30" s="40"/>
    </row>
    <row r="31" spans="1:45" ht="16.5" customHeight="1" x14ac:dyDescent="0.2">
      <c r="C31" s="29" t="s">
        <v>91</v>
      </c>
      <c r="D31" s="29"/>
      <c r="E31" s="35"/>
      <c r="F31" s="35"/>
      <c r="G31" s="35"/>
      <c r="H31" s="160">
        <v>45250</v>
      </c>
      <c r="I31" s="160"/>
      <c r="J31" s="73" t="s">
        <v>24</v>
      </c>
      <c r="U31" s="151"/>
      <c r="V31" s="38"/>
      <c r="W31" s="115"/>
      <c r="X31" s="116"/>
      <c r="Y31" s="116"/>
      <c r="Z31" s="116"/>
      <c r="AA31" s="117"/>
      <c r="AB31" s="25"/>
      <c r="AE31" s="151"/>
      <c r="AF31" s="47"/>
      <c r="AG31" s="115"/>
      <c r="AH31" s="116"/>
      <c r="AI31" s="116"/>
      <c r="AJ31" s="116"/>
      <c r="AK31" s="117"/>
      <c r="AL31" s="40"/>
    </row>
    <row r="32" spans="1:45" ht="16.5" customHeight="1" x14ac:dyDescent="0.2">
      <c r="C32" s="32" t="s">
        <v>92</v>
      </c>
      <c r="D32" s="32"/>
      <c r="H32" s="159">
        <v>45252</v>
      </c>
      <c r="I32" s="159"/>
      <c r="J32" s="73" t="s">
        <v>24</v>
      </c>
      <c r="U32" s="152"/>
      <c r="V32" s="38"/>
      <c r="W32" s="118"/>
      <c r="X32" s="119"/>
      <c r="Y32" s="119"/>
      <c r="Z32" s="119"/>
      <c r="AA32" s="120"/>
      <c r="AB32" s="25"/>
      <c r="AE32" s="152"/>
      <c r="AF32" s="47"/>
      <c r="AG32" s="118"/>
      <c r="AH32" s="119"/>
      <c r="AI32" s="119"/>
      <c r="AJ32" s="119"/>
      <c r="AK32" s="120"/>
      <c r="AL32" s="40"/>
    </row>
    <row r="33" spans="3:38" ht="16.5" customHeight="1" x14ac:dyDescent="0.2">
      <c r="C33" s="29" t="s">
        <v>93</v>
      </c>
      <c r="D33" s="29"/>
      <c r="E33" s="35"/>
      <c r="F33" s="35"/>
      <c r="G33" s="35"/>
      <c r="H33" s="160">
        <v>45254</v>
      </c>
      <c r="I33" s="160"/>
      <c r="J33" s="73" t="s">
        <v>24</v>
      </c>
      <c r="U33" s="152"/>
      <c r="V33" s="38"/>
      <c r="W33" s="118"/>
      <c r="X33" s="119"/>
      <c r="Y33" s="119"/>
      <c r="Z33" s="119"/>
      <c r="AA33" s="120"/>
      <c r="AB33" s="25"/>
      <c r="AE33" s="152"/>
      <c r="AF33" s="47"/>
      <c r="AG33" s="118"/>
      <c r="AH33" s="119"/>
      <c r="AI33" s="119"/>
      <c r="AJ33" s="119"/>
      <c r="AK33" s="120"/>
      <c r="AL33" s="40"/>
    </row>
    <row r="34" spans="3:38" ht="16.5" customHeight="1" x14ac:dyDescent="0.2">
      <c r="C34" s="32" t="s">
        <v>94</v>
      </c>
      <c r="D34" s="32"/>
      <c r="H34" s="159">
        <v>45255</v>
      </c>
      <c r="I34" s="159"/>
      <c r="J34" s="73" t="s">
        <v>24</v>
      </c>
      <c r="U34" s="152"/>
      <c r="V34" s="38"/>
      <c r="W34" s="118"/>
      <c r="X34" s="119"/>
      <c r="Y34" s="119"/>
      <c r="Z34" s="119"/>
      <c r="AA34" s="120"/>
      <c r="AB34" s="25"/>
      <c r="AE34" s="152"/>
      <c r="AF34" s="47"/>
      <c r="AG34" s="118"/>
      <c r="AH34" s="119"/>
      <c r="AI34" s="119"/>
      <c r="AJ34" s="119"/>
      <c r="AK34" s="120"/>
      <c r="AL34" s="40"/>
    </row>
    <row r="35" spans="3:38" ht="16.5" customHeight="1" x14ac:dyDescent="0.2">
      <c r="C35" s="29" t="s">
        <v>95</v>
      </c>
      <c r="D35" s="29"/>
      <c r="E35" s="35"/>
      <c r="F35" s="35"/>
      <c r="G35" s="35"/>
      <c r="H35" s="160">
        <v>45257</v>
      </c>
      <c r="I35" s="158"/>
      <c r="J35" s="73" t="s">
        <v>24</v>
      </c>
      <c r="U35" s="152"/>
      <c r="V35" s="38"/>
      <c r="W35" s="118"/>
      <c r="X35" s="119"/>
      <c r="Y35" s="119"/>
      <c r="Z35" s="119"/>
      <c r="AA35" s="120"/>
      <c r="AB35" s="25"/>
      <c r="AE35" s="152"/>
      <c r="AF35" s="47"/>
      <c r="AG35" s="118"/>
      <c r="AH35" s="119"/>
      <c r="AI35" s="119"/>
      <c r="AJ35" s="119"/>
      <c r="AK35" s="120"/>
      <c r="AL35" s="40"/>
    </row>
    <row r="36" spans="3:38" ht="16.5" customHeight="1" x14ac:dyDescent="0.2">
      <c r="I36" s="17"/>
      <c r="J36" s="74"/>
      <c r="U36" s="152"/>
      <c r="V36" s="38"/>
      <c r="W36" s="118"/>
      <c r="X36" s="119"/>
      <c r="Y36" s="119"/>
      <c r="Z36" s="119"/>
      <c r="AA36" s="120"/>
      <c r="AB36" s="25"/>
      <c r="AE36" s="152"/>
      <c r="AF36" s="47"/>
      <c r="AG36" s="118"/>
      <c r="AH36" s="119"/>
      <c r="AI36" s="119"/>
      <c r="AJ36" s="119"/>
      <c r="AK36" s="120"/>
      <c r="AL36" s="40"/>
    </row>
    <row r="37" spans="3:38" x14ac:dyDescent="0.2">
      <c r="U37" s="153"/>
      <c r="V37" s="38"/>
      <c r="W37" s="121"/>
      <c r="X37" s="122"/>
      <c r="Y37" s="122"/>
      <c r="Z37" s="122"/>
      <c r="AA37" s="123"/>
      <c r="AB37" s="25"/>
      <c r="AE37" s="153"/>
      <c r="AF37" s="47"/>
      <c r="AG37" s="121"/>
      <c r="AH37" s="122"/>
      <c r="AI37" s="122"/>
      <c r="AJ37" s="122"/>
      <c r="AK37" s="123"/>
      <c r="AL37" s="40"/>
    </row>
    <row r="38" spans="3:38" x14ac:dyDescent="0.2">
      <c r="AE38" s="4"/>
      <c r="AF38" s="4"/>
      <c r="AG38" s="4"/>
      <c r="AH38" s="4"/>
      <c r="AI38" s="4"/>
      <c r="AJ38" s="4"/>
      <c r="AK38" s="4"/>
      <c r="AL38" s="40"/>
    </row>
    <row r="39" spans="3:38" x14ac:dyDescent="0.2">
      <c r="U39" s="57" t="s">
        <v>27</v>
      </c>
      <c r="V39" s="57"/>
      <c r="W39" s="57"/>
      <c r="X39" s="57"/>
      <c r="Y39" s="57"/>
      <c r="Z39" s="57"/>
      <c r="AA39" s="57"/>
      <c r="AE39" s="61" t="s">
        <v>27</v>
      </c>
      <c r="AF39" s="61"/>
      <c r="AG39" s="61"/>
      <c r="AH39" s="61"/>
      <c r="AI39" s="61"/>
      <c r="AJ39" s="61"/>
      <c r="AK39" s="61"/>
      <c r="AL39" s="40"/>
    </row>
    <row r="40" spans="3:38" ht="12" x14ac:dyDescent="0.2">
      <c r="U40" s="58" t="s">
        <v>13</v>
      </c>
      <c r="V40" s="47"/>
      <c r="W40" s="47" t="s">
        <v>14</v>
      </c>
      <c r="X40" s="47"/>
      <c r="Y40" s="47"/>
      <c r="Z40" s="47"/>
      <c r="AA40" s="47"/>
      <c r="AB40" s="18"/>
      <c r="AE40" s="55" t="s">
        <v>13</v>
      </c>
      <c r="AF40" s="38"/>
      <c r="AG40" s="38" t="s">
        <v>14</v>
      </c>
      <c r="AH40" s="38"/>
      <c r="AI40" s="38"/>
      <c r="AJ40" s="38"/>
      <c r="AK40" s="38"/>
      <c r="AL40" s="40"/>
    </row>
    <row r="41" spans="3:38" x14ac:dyDescent="0.2">
      <c r="U41" s="138"/>
      <c r="V41" s="47"/>
      <c r="W41" s="115"/>
      <c r="X41" s="116"/>
      <c r="Y41" s="116"/>
      <c r="Z41" s="116"/>
      <c r="AA41" s="117"/>
      <c r="AB41" s="25"/>
      <c r="AE41" s="138"/>
      <c r="AF41" s="38"/>
      <c r="AG41" s="115"/>
      <c r="AH41" s="116"/>
      <c r="AI41" s="116"/>
      <c r="AJ41" s="116"/>
      <c r="AK41" s="117"/>
      <c r="AL41" s="40"/>
    </row>
    <row r="42" spans="3:38" x14ac:dyDescent="0.2">
      <c r="U42" s="139"/>
      <c r="V42" s="47"/>
      <c r="W42" s="118"/>
      <c r="X42" s="119"/>
      <c r="Y42" s="119"/>
      <c r="Z42" s="119"/>
      <c r="AA42" s="120"/>
      <c r="AB42" s="25"/>
      <c r="AE42" s="139"/>
      <c r="AF42" s="38"/>
      <c r="AG42" s="118"/>
      <c r="AH42" s="119"/>
      <c r="AI42" s="119"/>
      <c r="AJ42" s="119"/>
      <c r="AK42" s="120"/>
      <c r="AL42" s="40"/>
    </row>
    <row r="43" spans="3:38" x14ac:dyDescent="0.2">
      <c r="U43" s="139"/>
      <c r="V43" s="47"/>
      <c r="W43" s="118"/>
      <c r="X43" s="119"/>
      <c r="Y43" s="119"/>
      <c r="Z43" s="119"/>
      <c r="AA43" s="120"/>
      <c r="AB43" s="25"/>
      <c r="AE43" s="139"/>
      <c r="AF43" s="38"/>
      <c r="AG43" s="118"/>
      <c r="AH43" s="119"/>
      <c r="AI43" s="119"/>
      <c r="AJ43" s="119"/>
      <c r="AK43" s="120"/>
      <c r="AL43" s="40"/>
    </row>
    <row r="44" spans="3:38" x14ac:dyDescent="0.2">
      <c r="U44" s="139"/>
      <c r="V44" s="47"/>
      <c r="W44" s="118"/>
      <c r="X44" s="119"/>
      <c r="Y44" s="119"/>
      <c r="Z44" s="119"/>
      <c r="AA44" s="120"/>
      <c r="AB44" s="25"/>
      <c r="AE44" s="139"/>
      <c r="AF44" s="38"/>
      <c r="AG44" s="118"/>
      <c r="AH44" s="119"/>
      <c r="AI44" s="119"/>
      <c r="AJ44" s="119"/>
      <c r="AK44" s="120"/>
      <c r="AL44" s="40"/>
    </row>
    <row r="45" spans="3:38" x14ac:dyDescent="0.2">
      <c r="U45" s="140"/>
      <c r="V45" s="47"/>
      <c r="W45" s="121"/>
      <c r="X45" s="122"/>
      <c r="Y45" s="122"/>
      <c r="Z45" s="122"/>
      <c r="AA45" s="123"/>
      <c r="AB45" s="25"/>
      <c r="AE45" s="140"/>
      <c r="AF45" s="38"/>
      <c r="AG45" s="121"/>
      <c r="AH45" s="122"/>
      <c r="AI45" s="122"/>
      <c r="AJ45" s="122"/>
      <c r="AK45" s="123"/>
      <c r="AL45" s="40"/>
    </row>
    <row r="46" spans="3:38" x14ac:dyDescent="0.2">
      <c r="U46" s="59"/>
      <c r="V46" s="47"/>
      <c r="W46" s="47"/>
      <c r="X46" s="47"/>
      <c r="Y46" s="47"/>
      <c r="Z46" s="47"/>
      <c r="AA46" s="47"/>
      <c r="AE46" s="56"/>
      <c r="AF46" s="38"/>
      <c r="AG46" s="38"/>
      <c r="AH46" s="38"/>
      <c r="AI46" s="38"/>
      <c r="AJ46" s="38"/>
      <c r="AK46" s="38"/>
      <c r="AL46" s="40"/>
    </row>
    <row r="47" spans="3:38" x14ac:dyDescent="0.2">
      <c r="U47" s="47" t="s">
        <v>17</v>
      </c>
      <c r="V47" s="47"/>
      <c r="W47" s="47" t="s">
        <v>18</v>
      </c>
      <c r="X47" s="47"/>
      <c r="Y47" s="47"/>
      <c r="Z47" s="47"/>
      <c r="AA47" s="47"/>
      <c r="AB47" s="18"/>
      <c r="AE47" s="38" t="s">
        <v>17</v>
      </c>
      <c r="AF47" s="38"/>
      <c r="AG47" s="38" t="s">
        <v>18</v>
      </c>
      <c r="AH47" s="38"/>
      <c r="AI47" s="38"/>
      <c r="AJ47" s="38"/>
      <c r="AK47" s="38"/>
      <c r="AL47" s="40"/>
    </row>
    <row r="48" spans="3:38" x14ac:dyDescent="0.2">
      <c r="U48" s="151"/>
      <c r="V48" s="47"/>
      <c r="W48" s="115"/>
      <c r="X48" s="116"/>
      <c r="Y48" s="116"/>
      <c r="Z48" s="116"/>
      <c r="AA48" s="117"/>
      <c r="AB48" s="25"/>
      <c r="AE48" s="151"/>
      <c r="AF48" s="38"/>
      <c r="AG48" s="115"/>
      <c r="AH48" s="116"/>
      <c r="AI48" s="116"/>
      <c r="AJ48" s="116"/>
      <c r="AK48" s="117"/>
      <c r="AL48" s="40"/>
    </row>
    <row r="49" spans="21:38" x14ac:dyDescent="0.2">
      <c r="U49" s="152"/>
      <c r="V49" s="47"/>
      <c r="W49" s="118"/>
      <c r="X49" s="119"/>
      <c r="Y49" s="119"/>
      <c r="Z49" s="119"/>
      <c r="AA49" s="120"/>
      <c r="AB49" s="25"/>
      <c r="AE49" s="152"/>
      <c r="AF49" s="38"/>
      <c r="AG49" s="118"/>
      <c r="AH49" s="119"/>
      <c r="AI49" s="119"/>
      <c r="AJ49" s="119"/>
      <c r="AK49" s="120"/>
      <c r="AL49" s="40"/>
    </row>
    <row r="50" spans="21:38" x14ac:dyDescent="0.2">
      <c r="U50" s="152"/>
      <c r="V50" s="47"/>
      <c r="W50" s="118"/>
      <c r="X50" s="119"/>
      <c r="Y50" s="119"/>
      <c r="Z50" s="119"/>
      <c r="AA50" s="120"/>
      <c r="AB50" s="25"/>
      <c r="AE50" s="152"/>
      <c r="AF50" s="38"/>
      <c r="AG50" s="118"/>
      <c r="AH50" s="119"/>
      <c r="AI50" s="119"/>
      <c r="AJ50" s="119"/>
      <c r="AK50" s="120"/>
      <c r="AL50" s="40"/>
    </row>
    <row r="51" spans="21:38" x14ac:dyDescent="0.2">
      <c r="U51" s="152"/>
      <c r="V51" s="47"/>
      <c r="W51" s="118"/>
      <c r="X51" s="119"/>
      <c r="Y51" s="119"/>
      <c r="Z51" s="119"/>
      <c r="AA51" s="120"/>
      <c r="AB51" s="25"/>
      <c r="AE51" s="152"/>
      <c r="AF51" s="38"/>
      <c r="AG51" s="118"/>
      <c r="AH51" s="119"/>
      <c r="AI51" s="119"/>
      <c r="AJ51" s="119"/>
      <c r="AK51" s="120"/>
      <c r="AL51" s="40"/>
    </row>
    <row r="52" spans="21:38" x14ac:dyDescent="0.2">
      <c r="U52" s="152"/>
      <c r="V52" s="47"/>
      <c r="W52" s="118"/>
      <c r="X52" s="119"/>
      <c r="Y52" s="119"/>
      <c r="Z52" s="119"/>
      <c r="AA52" s="120"/>
      <c r="AB52" s="25"/>
      <c r="AE52" s="152"/>
      <c r="AF52" s="38"/>
      <c r="AG52" s="118"/>
      <c r="AH52" s="119"/>
      <c r="AI52" s="119"/>
      <c r="AJ52" s="119"/>
      <c r="AK52" s="120"/>
      <c r="AL52" s="40"/>
    </row>
    <row r="53" spans="21:38" x14ac:dyDescent="0.2">
      <c r="U53" s="152"/>
      <c r="V53" s="47"/>
      <c r="W53" s="118"/>
      <c r="X53" s="119"/>
      <c r="Y53" s="119"/>
      <c r="Z53" s="119"/>
      <c r="AA53" s="120"/>
      <c r="AB53" s="25"/>
      <c r="AE53" s="152"/>
      <c r="AF53" s="38"/>
      <c r="AG53" s="118"/>
      <c r="AH53" s="119"/>
      <c r="AI53" s="119"/>
      <c r="AJ53" s="119"/>
      <c r="AK53" s="120"/>
      <c r="AL53" s="40"/>
    </row>
    <row r="54" spans="21:38" x14ac:dyDescent="0.2">
      <c r="U54" s="153"/>
      <c r="V54" s="47"/>
      <c r="W54" s="121"/>
      <c r="X54" s="122"/>
      <c r="Y54" s="122"/>
      <c r="Z54" s="122"/>
      <c r="AA54" s="123"/>
      <c r="AB54" s="25"/>
      <c r="AE54" s="153"/>
      <c r="AF54" s="38"/>
      <c r="AG54" s="121"/>
      <c r="AH54" s="122"/>
      <c r="AI54" s="122"/>
      <c r="AJ54" s="122"/>
      <c r="AK54" s="123"/>
      <c r="AL54" s="40"/>
    </row>
    <row r="55" spans="21:38" x14ac:dyDescent="0.2">
      <c r="U55" s="43"/>
      <c r="V55" s="43"/>
      <c r="W55" s="43"/>
      <c r="X55" s="43"/>
      <c r="Y55" s="43"/>
      <c r="Z55" s="43"/>
      <c r="AA55" s="43"/>
      <c r="AE55" s="38"/>
      <c r="AF55" s="38"/>
      <c r="AG55" s="38"/>
      <c r="AH55" s="38"/>
      <c r="AI55" s="38"/>
      <c r="AJ55" s="38"/>
      <c r="AK55" s="38"/>
      <c r="AL55" s="40"/>
    </row>
    <row r="56" spans="21:38" x14ac:dyDescent="0.2">
      <c r="AE56" s="4"/>
      <c r="AF56" s="4"/>
      <c r="AG56" s="4"/>
      <c r="AH56" s="4"/>
      <c r="AI56" s="4"/>
      <c r="AJ56" s="4"/>
      <c r="AK56" s="4"/>
      <c r="AL56" s="40"/>
    </row>
  </sheetData>
  <mergeCells count="60">
    <mergeCell ref="B14:B18"/>
    <mergeCell ref="B2:J2"/>
    <mergeCell ref="V3:W4"/>
    <mergeCell ref="C4:I4"/>
    <mergeCell ref="K4:Q4"/>
    <mergeCell ref="O15:P15"/>
    <mergeCell ref="O16:P16"/>
    <mergeCell ref="O17:P17"/>
    <mergeCell ref="O18:P18"/>
    <mergeCell ref="U1:AK1"/>
    <mergeCell ref="C1:P1"/>
    <mergeCell ref="AG7:AK11"/>
    <mergeCell ref="U24:U28"/>
    <mergeCell ref="W24:AA28"/>
    <mergeCell ref="H15:I15"/>
    <mergeCell ref="H16:I16"/>
    <mergeCell ref="H17:I17"/>
    <mergeCell ref="H18:I18"/>
    <mergeCell ref="H19:I19"/>
    <mergeCell ref="H20:I20"/>
    <mergeCell ref="H21:I21"/>
    <mergeCell ref="H22:I22"/>
    <mergeCell ref="H23:I23"/>
    <mergeCell ref="H24:I24"/>
    <mergeCell ref="H25:I25"/>
    <mergeCell ref="U41:U45"/>
    <mergeCell ref="W41:AA45"/>
    <mergeCell ref="U48:U54"/>
    <mergeCell ref="W48:AA54"/>
    <mergeCell ref="AE7:AE11"/>
    <mergeCell ref="AE41:AE45"/>
    <mergeCell ref="U31:U37"/>
    <mergeCell ref="W31:AA37"/>
    <mergeCell ref="U7:U11"/>
    <mergeCell ref="W14:AA20"/>
    <mergeCell ref="U14:U20"/>
    <mergeCell ref="W7:AA11"/>
    <mergeCell ref="AG41:AK45"/>
    <mergeCell ref="AE48:AE54"/>
    <mergeCell ref="AG48:AK54"/>
    <mergeCell ref="AE14:AE20"/>
    <mergeCell ref="AG14:AK20"/>
    <mergeCell ref="AE24:AE28"/>
    <mergeCell ref="AG24:AK28"/>
    <mergeCell ref="AE31:AE37"/>
    <mergeCell ref="AG31:AK37"/>
    <mergeCell ref="H32:I32"/>
    <mergeCell ref="H33:I33"/>
    <mergeCell ref="H34:I34"/>
    <mergeCell ref="H35:I35"/>
    <mergeCell ref="H26:I26"/>
    <mergeCell ref="H27:I27"/>
    <mergeCell ref="H28:I28"/>
    <mergeCell ref="H29:I29"/>
    <mergeCell ref="H30:I30"/>
    <mergeCell ref="O19:P19"/>
    <mergeCell ref="O20:P20"/>
    <mergeCell ref="O21:P21"/>
    <mergeCell ref="O22:P22"/>
    <mergeCell ref="H31:I31"/>
  </mergeCells>
  <dataValidations count="1">
    <dataValidation allowBlank="1" showInputMessage="1" showErrorMessage="1" errorTitle="Ano Inválido" error="Insira um ano de 1900 a 9999 ou use a barra de rolagem para encontrar um ano." sqref="C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d24ca4d-8056-4c07-9fe8-c374dedb8667"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1ED55D7414D9428E3B8FE8DA09B7ED" ma:contentTypeVersion="21" ma:contentTypeDescription="Crie um novo documento." ma:contentTypeScope="" ma:versionID="274f382c791484c7e8bee8883d299e72">
  <xsd:schema xmlns:xsd="http://www.w3.org/2001/XMLSchema" xmlns:xs="http://www.w3.org/2001/XMLSchema" xmlns:p="http://schemas.microsoft.com/office/2006/metadata/properties" xmlns:ns1="http://schemas.microsoft.com/sharepoint/v3" xmlns:ns3="ad316973-8349-4ba1-8b8c-595395fbce67" xmlns:ns4="0d24ca4d-8056-4c07-9fe8-c374dedb8667" targetNamespace="http://schemas.microsoft.com/office/2006/metadata/properties" ma:root="true" ma:fieldsID="a8abc92da795f2bef0a21ac74d04a872" ns1:_="" ns3:_="" ns4:_="">
    <xsd:import namespace="http://schemas.microsoft.com/sharepoint/v3"/>
    <xsd:import namespace="ad316973-8349-4ba1-8b8c-595395fbce67"/>
    <xsd:import namespace="0d24ca4d-8056-4c07-9fe8-c374dedb8667"/>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riedades da Política de Conformidade Unificada" ma:hidden="true" ma:internalName="_ip_UnifiedCompliancePolicyProperties">
      <xsd:simpleType>
        <xsd:restriction base="dms:Note"/>
      </xsd:simpleType>
    </xsd:element>
    <xsd:element name="_ip_UnifiedCompliancePolicyUIAction" ma:index="25"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16973-8349-4ba1-8b8c-595395fbce67" elementFormDefault="qualified">
    <xsd:import namespace="http://schemas.microsoft.com/office/2006/documentManagement/types"/>
    <xsd:import namespace="http://schemas.microsoft.com/office/infopath/2007/PartnerControls"/>
    <xsd:element name="SharedWithUsers" ma:index="8" nillable="true" ma:displayName="Compartilhado com"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description="" ma:internalName="SharedWithDetails" ma:readOnly="true">
      <xsd:simpleType>
        <xsd:restriction base="dms:Note">
          <xsd:maxLength value="255"/>
        </xsd:restriction>
      </xsd:simpleType>
    </xsd:element>
    <xsd:element name="SharingHintHash" ma:index="10" nillable="true" ma:displayName="Hash de Dica de Compartilhamento" ma:description="" ma:internalName="SharingHintHash" ma:readOnly="true">
      <xsd:simpleType>
        <xsd:restriction base="dms:Text"/>
      </xsd:simpleType>
    </xsd:element>
    <xsd:element name="LastSharedByUser" ma:index="11" nillable="true" ma:displayName="Último Compartilhamento Por Usuário" ma:description="" ma:internalName="LastSharedByUser" ma:readOnly="true">
      <xsd:simpleType>
        <xsd:restriction base="dms:Note">
          <xsd:maxLength value="255"/>
        </xsd:restriction>
      </xsd:simpleType>
    </xsd:element>
    <xsd:element name="LastSharedByTime" ma:index="12" nillable="true" ma:displayName="Último Compartilhamento Por Tempo"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24ca4d-8056-4c07-9fe8-c374dedb866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6" nillable="true" ma:displayName="_activity" ma:hidden="true" ma:internalName="_activity">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J Q E A A B Q S w M E F A A C A A g A K V / n V i L O / 5 C n A A A A + Q A A A B I A H A B D b 2 5 m a W c v U G F j a 2 F n Z S 5 4 b W w g o h g A K K A U A A A A A A A A A A A A A A A A A A A A A A A A A A A A h Y / N C o J A G E V f R W b v / E l R 8 j l C b R O i I N o O N u m Q j u K M j e / W o k f q F R L K a t f y H s 7 i 3 M f t D u l Q V 8 F V d V Y 3 J k E M U x Q o k z c n b Y o E 9 e 4 c L l A q Y C v z i y x U M M r G x o M 9 J a h 0 r o 0 J 8 d 5 j H + G m K w i n l J F j t t n n p a o l + s j 6 v x x q Y 5 0 0 u U I C D q 8 Y w f G c 4 R l b c s w i y o B M H D J t v g 4 f k z E F 8 g N h 3 V e u 7 5 R o X b j a A Z k m k P c N 8 Q R Q S w M E F A A C A A g A K V / 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l f 5 1 a / o r 4 z i w E A A F Q K A A A T A B w A R m 9 y b X V s Y X M v U 2 V j d G l v b j E u b S C i G A A o o B Q A A A A A A A A A A A A A A A A A A A A A A A A A A A D t l N 9 L w z A Q x 9 8 H + x + O 7 m W D t m x d p 6 D 0 Q d s p I r q 5 d U 9 W R l x P j a S J J N f h D / z f 7 R z i / D k F x Y r m J c f 3 L s l d P t w Z n B B X E o b z v b V e r V Q r 5 o x p T K F m n e f i T D n s V B l S j t f 0 2 h Y E I J C q F S j W l p K E h R C a q R u p S Z 6 h p P o W F + i G M 4 8 k U 7 f C t W R k U J t E s x O G g p K e x E j z K Y I D w + 7 m Y K O b N J v N 8 W i 7 H x b G 6 n h v N 4 a o C / 1 B L x r F v W E S M o E y Z Z o r m L 2 f e G A w Q 0 M a k x f J u X R J V s M + j F D w j B P q w F q 3 b A i V y D N p A t + G r p y o l M v T o O V 1 P B s O c k U 4 p C u B w a P p 7 i u J R w 1 7 X m P N i v m F g g 1 R X M d S N a s / Z s d F V K y Z N C d K Z / P r 4 6 s L N P X 7 H 7 F v b q y 5 2 C p e p 8 I B h J d 0 a 8 O D 7 j 3 o K S N c 0 N t v x P t P 9 N t G t c L l 6 + k t w Q d 1 r / G P 8 D c h N E i O y q l 0 z b e Y 1 x J o n f J B e 6 Z / D N q j 3 v k C m E 5 p c T q f B f r 9 0 H Y k r f j u 7 N h P U / N L S 8 1 f Q q 1 d v j Z 8 d 3 Z + H J B U U y f F 6 9 L N y M W 8 / h K c O 1 B L A Q I t A B Q A A g A I A C l f 5 1 Y i z v + Q p w A A A P k A A A A S A A A A A A A A A A A A A A A A A A A A A A B D b 2 5 m a W c v U G F j a 2 F n Z S 5 4 b W x Q S w E C L Q A U A A I A C A A p X + d W D 8 r p q 6 Q A A A D p A A A A E w A A A A A A A A A A A A A A A A D z A A A A W 0 N v b n R l b n R f V H l w Z X N d L n h t b F B L A Q I t A B Q A A g A I A C l f 5 1 a / o r 4 z i w E A A F Q K A A A T A A A A A A A A A A A A A A A A A O Q B A A B G b 3 J t d W x h c y 9 T Z W N 0 a W 9 u M S 5 t U E s F B g A A A A A D A A M A w g A A A L 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8 x A A A A A A A A z T 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p 1 b G h v L W F n b 3 N 0 b y 0 y M D 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M i I g L z 4 8 R W 5 0 c n k g V H l w Z T 0 i R m l s b E V y c m 9 y Q 2 9 k Z S I g V m F s d W U 9 I n N V b m t u b 3 d u I i A v P j x F b n R y e S B U e X B l P S J G a W x s R X J y b 3 J D b 3 V u d C I g V m F s d W U 9 I m w w I i A v P j x F b n R y e S B U e X B l P S J G a W x s T G F z d F V w Z G F 0 Z W Q i I F Z h b H V l P S J k M j A y M y 0 w N y 0 w M 1 Q x M z o 1 N T o 1 N S 4 4 O T Q y N j c y W i I g L z 4 8 R W 5 0 c n k g V H l w Z T 0 i R m l s b E N v b H V t b l R 5 c G V z I i B W Y W x 1 Z T 0 i c 0 J n a 0 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d W x o b y 1 h Z 2 9 z d G 8 t M j A y M y 9 U a X B v I E F s d G V y Y W R v L n t D b 2 x 1 b W 4 x L D B 9 J n F 1 b 3 Q 7 L C Z x d W 9 0 O 1 N l Y 3 R p b 2 4 x L 2 p 1 b G h v L W F n b 3 N 0 b y 0 y M D I z L 1 R p c G 8 g Q W x 0 Z X J h Z G 8 u e 0 N v b H V t b j I s M X 0 m c X V v d D s s J n F 1 b 3 Q 7 U 2 V j d G l v b j E v a n V s a G 8 t Y W d v c 3 R v L T I w M j M v V G l w b y B B b H R l c m F k b y 5 7 Q 2 9 s d W 1 u M y w y f S Z x d W 9 0 O y w m c X V v d D t T Z W N 0 a W 9 u M S 9 q d W x o b y 1 h Z 2 9 z d G 8 t M j A y M y 9 U a X B v I E F s d G V y Y W R v L n t D b 2 x 1 b W 4 0 L D N 9 J n F 1 b 3 Q 7 X S w m c X V v d D t D b 2 x 1 b W 5 D b 3 V u d C Z x d W 9 0 O z o 0 L C Z x d W 9 0 O 0 t l e U N v b H V t b k 5 h b W V z J n F 1 b 3 Q 7 O l t d L C Z x d W 9 0 O 0 N v b H V t b k l k Z W 5 0 a X R p Z X M m c X V v d D s 6 W y Z x d W 9 0 O 1 N l Y 3 R p b 2 4 x L 2 p 1 b G h v L W F n b 3 N 0 b y 0 y M D I z L 1 R p c G 8 g Q W x 0 Z X J h Z G 8 u e 0 N v b H V t b j E s M H 0 m c X V v d D s s J n F 1 b 3 Q 7 U 2 V j d G l v b j E v a n V s a G 8 t Y W d v c 3 R v L T I w M j M v V G l w b y B B b H R l c m F k b y 5 7 Q 2 9 s d W 1 u M i w x f S Z x d W 9 0 O y w m c X V v d D t T Z W N 0 a W 9 u M S 9 q d W x o b y 1 h Z 2 9 z d G 8 t M j A y M y 9 U a X B v I E F s d G V y Y W R v L n t D b 2 x 1 b W 4 z L D J 9 J n F 1 b 3 Q 7 L C Z x d W 9 0 O 1 N l Y 3 R p b 2 4 x L 2 p 1 b G h v L W F n b 3 N 0 b y 0 y M D I z L 1 R p c G 8 g Q W x 0 Z X J h Z G 8 u e 0 N v b H V t b j Q s M 3 0 m c X V v d D t d L C Z x d W 9 0 O 1 J l b G F 0 a W 9 u c 2 h p c E l u Z m 8 m c X V v d D s 6 W 1 1 9 I i A v P j w v U 3 R h Y m x l R W 5 0 c m l l c z 4 8 L 0 l 0 Z W 0 + P E l 0 Z W 0 + P E l 0 Z W 1 M b 2 N h d G l v b j 4 8 S X R l b V R 5 c G U + R m 9 y b X V s Y T w v S X R l b V R 5 c G U + P E l 0 Z W 1 Q Y X R o P l N l Y 3 R p b 2 4 x L 2 p 1 b G h v L W F n b 3 N 0 b y 0 y M D I z L 0 Z v b n R l P C 9 J d G V t U G F 0 a D 4 8 L 0 l 0 Z W 1 M b 2 N h d G l v b j 4 8 U 3 R h Y m x l R W 5 0 c m l l c y A v P j w v S X R l b T 4 8 S X R l b T 4 8 S X R l b U x v Y 2 F 0 a W 9 u P j x J d G V t V H l w Z T 5 G b 3 J t d W x h P C 9 J d G V t V H l w Z T 4 8 S X R l b V B h d G g + U 2 V j d G l v b j E v a n V s a G 8 t Y W d v c 3 R v L T I w M j M v V G l w b y U y M E F s d G V y Y W R v P C 9 J d G V t U G F 0 a D 4 8 L 0 l 0 Z W 1 M b 2 N h d G l v b j 4 8 U 3 R h Y m x l R W 5 0 c m l l c y A v P j w v S X R l b T 4 8 S X R l b T 4 8 S X R l b U x v Y 2 F 0 a W 9 u P j x J d G V t V H l w Z T 5 G b 3 J t d W x h P C 9 J d G V t V H l w Z T 4 8 S X R l b V B h d G g + U 2 V j d G l v b j E v a n V s a G 8 t Y W d v c 3 R v L T I w M j M 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z L T A 3 L T A z V D E z O j U 1 O j U 1 L j g 5 N D I 2 N z J a I i A v P j x F b n R y e S B U e X B l P S J G a W x s Q 2 9 s d W 1 u V H l w Z X M i I F Z h b H V l P S J z Q m d r R 0 J n P T 0 i I C 8 + P E V u d H J 5 I F R 5 c G U 9 I k Z p b G x D b 2 x 1 b W 5 O Y W 1 l c y I g V m F s d W U 9 I n N b J n F 1 b 3 Q 7 Q 2 9 s d W 1 u M S Z x d W 9 0 O y w m c X V v d D t D b 2 x 1 b W 4 y J n F 1 b 3 Q 7 L C Z x d W 9 0 O 0 N v b H V t b j M m c X V v d D s s J n F 1 b 3 Q 7 Q 2 9 s d W 1 u N C Z x d W 9 0 O 1 0 i I C 8 + P E V u d H J 5 I F R 5 c G U 9 I k Z p b G x T d G F 0 d X M i I F Z h b H V l P S J z Q 2 9 t c G x l d G U i I C 8 + P E V u d H J 5 I F R 5 c G U 9 I k Z p b G x D b 3 V u d C I g V m F s d W U 9 I m w x M j I i I C 8 + P E V u d H J 5 I F R 5 c G U 9 I l J l b G F 0 a W 9 u c 2 h p c E l u Z m 9 D b 2 5 0 Y W l u Z X I i I F Z h b H V l P S J z e y Z x d W 9 0 O 2 N v b H V t b k N v d W 5 0 J n F 1 b 3 Q 7 O j Q s J n F 1 b 3 Q 7 a 2 V 5 Q 2 9 s d W 1 u T m F t Z X M m c X V v d D s 6 W 1 0 s J n F 1 b 3 Q 7 c X V l c n l S Z W x h d G l v b n N o a X B z J n F 1 b 3 Q 7 O l t d L C Z x d W 9 0 O 2 N v b H V t b k l k Z W 5 0 a X R p Z X M m c X V v d D s 6 W y Z x d W 9 0 O 1 N l Y 3 R p b 2 4 x L 2 p 1 b G h v L W F n b 3 N 0 b y 0 y M D I z L 1 R p c G 8 g Q W x 0 Z X J h Z G 8 u e 0 N v b H V t b j E s M H 0 m c X V v d D s s J n F 1 b 3 Q 7 U 2 V j d G l v b j E v a n V s a G 8 t Y W d v c 3 R v L T I w M j M v V G l w b y B B b H R l c m F k b y 5 7 Q 2 9 s d W 1 u M i w x f S Z x d W 9 0 O y w m c X V v d D t T Z W N 0 a W 9 u M S 9 q d W x o b y 1 h Z 2 9 z d G 8 t M j A y M y 9 U a X B v I E F s d G V y Y W R v L n t D b 2 x 1 b W 4 z L D J 9 J n F 1 b 3 Q 7 L C Z x d W 9 0 O 1 N l Y 3 R p b 2 4 x L 2 p 1 b G h v L W F n b 3 N 0 b y 0 y M D I z L 1 R p c G 8 g Q W x 0 Z X J h Z G 8 u e 0 N v b H V t b j Q s M 3 0 m c X V v d D t d L C Z x d W 9 0 O 0 N v b H V t b k N v d W 5 0 J n F 1 b 3 Q 7 O j Q s J n F 1 b 3 Q 7 S 2 V 5 Q 2 9 s d W 1 u T m F t Z X M m c X V v d D s 6 W 1 0 s J n F 1 b 3 Q 7 Q 2 9 s d W 1 u S W R l b n R p d G l l c y Z x d W 9 0 O z p b J n F 1 b 3 Q 7 U 2 V j d G l v b j E v a n V s a G 8 t Y W d v c 3 R v L T I w M j M v V G l w b y B B b H R l c m F k b y 5 7 Q 2 9 s d W 1 u M S w w f S Z x d W 9 0 O y w m c X V v d D t T Z W N 0 a W 9 u M S 9 q d W x o b y 1 h Z 2 9 z d G 8 t M j A y M y 9 U a X B v I E F s d G V y Y W R v L n t D b 2 x 1 b W 4 y L D F 9 J n F 1 b 3 Q 7 L C Z x d W 9 0 O 1 N l Y 3 R p b 2 4 x L 2 p 1 b G h v L W F n b 3 N 0 b y 0 y M D I z L 1 R p c G 8 g Q W x 0 Z X J h Z G 8 u e 0 N v b H V t b j M s M n 0 m c X V v d D s s J n F 1 b 3 Q 7 U 2 V j d G l v b j E v a n V s a G 8 t Y W d v c 3 R v L T I w M j M v V G l w b y B B b H R l c m F k b y 5 7 Q 2 9 s d W 1 u N C w z f S Z x d W 9 0 O 1 0 s J n F 1 b 3 Q 7 U m V s Y X R p b 2 5 z a G l w S W 5 m b y Z x d W 9 0 O z p b X X 0 i I C 8 + P E V u d H J 5 I F R 5 c G U 9 I k x v Y W R l Z F R v Q W 5 h b H l z a X N T Z X J 2 a W N l c y I g V m F s d W U 9 I m w w I i A v P j w v U 3 R h Y m x l R W 5 0 c m l l c z 4 8 L 0 l 0 Z W 0 + P E l 0 Z W 0 + P E l 0 Z W 1 M b 2 N h d G l v b j 4 8 S X R l b V R 5 c G U + R m 9 y b X V s Y T w v S X R l b V R 5 c G U + P E l 0 Z W 1 Q Y X R o P l N l Y 3 R p b 2 4 x L 2 p 1 b G h v L W F n b 3 N 0 b y 0 y M D I z J T I w K D I p L 0 Z v b n R l P C 9 J d G V t U G F 0 a D 4 8 L 0 l 0 Z W 1 M b 2 N h d G l v b j 4 8 U 3 R h Y m x l R W 5 0 c m l l c y A v P j w v S X R l b T 4 8 S X R l b T 4 8 S X R l b U x v Y 2 F 0 a W 9 u P j x J d G V t V H l w Z T 5 G b 3 J t d W x h P C 9 J d G V t V H l w Z T 4 8 S X R l b V B h d G g + U 2 V j d G l v b j E v a n V s a G 8 t Y W d v c 3 R v L T I w M j M l M j A o M i k v V G l w b y U y M E F s d G V y Y W R v P C 9 J d G V t U G F 0 a D 4 8 L 0 l 0 Z W 1 M b 2 N h d G l v b j 4 8 U 3 R h Y m x l R W 5 0 c m l l c y A v P j w v S X R l b T 4 8 S X R l b T 4 8 S X R l b U x v Y 2 F 0 a W 9 u P j x J d G V t V H l w Z T 5 G b 3 J t d W x h P C 9 J d G V t V H l w Z T 4 8 S X R l b V B h d G g + U 2 V j d G l v b j E v c 2 V 0 L W 9 1 d C 0 y M D 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N i I g L z 4 8 R W 5 0 c n k g V H l w Z T 0 i R m l s b E V y c m 9 y Q 2 9 k Z S I g V m F s d W U 9 I n N V b m t u b 3 d u I i A v P j x F b n R y e S B U e X B l P S J G a W x s R X J y b 3 J D b 3 V u d C I g V m F s d W U 9 I m w w I i A v P j x F b n R y e S B U e X B l P S J G a W x s T G F z d F V w Z G F 0 Z W Q i I F Z h b H V l P S J k M j A y M y 0 w N y 0 w M 1 Q x N D o y M D o 0 M S 4 w O D c w N D U 4 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3 N l d C 1 v d X Q t M j A y M y 9 U a X B v I E F s d G V y Y W R v L n t D b 2 x 1 b W 4 x L D B 9 J n F 1 b 3 Q 7 L C Z x d W 9 0 O 1 N l Y 3 R p b 2 4 x L 3 N l d C 1 v d X Q t M j A y M y 9 U a X B v I E F s d G V y Y W R v L n t D b 2 x 1 b W 4 y L D F 9 J n F 1 b 3 Q 7 L C Z x d W 9 0 O 1 N l Y 3 R p b 2 4 x L 3 N l d C 1 v d X Q t M j A y M y 9 U a X B v I E F s d G V y Y W R v L n t D b 2 x 1 b W 4 z L D J 9 J n F 1 b 3 Q 7 L C Z x d W 9 0 O 1 N l Y 3 R p b 2 4 x L 3 N l d C 1 v d X Q t M j A y M y 9 U a X B v I E F s d G V y Y W R v L n t D b 2 x 1 b W 4 0 L D N 9 J n F 1 b 3 Q 7 L C Z x d W 9 0 O 1 N l Y 3 R p b 2 4 x L 3 N l d C 1 v d X Q t M j A y M y 9 U a X B v I E F s d G V y Y W R v L n t D b 2 x 1 b W 4 1 L D R 9 J n F 1 b 3 Q 7 X S w m c X V v d D t D b 2 x 1 b W 5 D b 3 V u d C Z x d W 9 0 O z o 1 L C Z x d W 9 0 O 0 t l e U N v b H V t b k 5 h b W V z J n F 1 b 3 Q 7 O l t d L C Z x d W 9 0 O 0 N v b H V t b k l k Z W 5 0 a X R p Z X M m c X V v d D s 6 W y Z x d W 9 0 O 1 N l Y 3 R p b 2 4 x L 3 N l d C 1 v d X Q t M j A y M y 9 U a X B v I E F s d G V y Y W R v L n t D b 2 x 1 b W 4 x L D B 9 J n F 1 b 3 Q 7 L C Z x d W 9 0 O 1 N l Y 3 R p b 2 4 x L 3 N l d C 1 v d X Q t M j A y M y 9 U a X B v I E F s d G V y Y W R v L n t D b 2 x 1 b W 4 y L D F 9 J n F 1 b 3 Q 7 L C Z x d W 9 0 O 1 N l Y 3 R p b 2 4 x L 3 N l d C 1 v d X Q t M j A y M y 9 U a X B v I E F s d G V y Y W R v L n t D b 2 x 1 b W 4 z L D J 9 J n F 1 b 3 Q 7 L C Z x d W 9 0 O 1 N l Y 3 R p b 2 4 x L 3 N l d C 1 v d X Q t M j A y M y 9 U a X B v I E F s d G V y Y W R v L n t D b 2 x 1 b W 4 0 L D N 9 J n F 1 b 3 Q 7 L C Z x d W 9 0 O 1 N l Y 3 R p b 2 4 x L 3 N l d C 1 v d X Q t M j A y M y 9 U a X B v I E F s d G V y Y W R v L n t D b 2 x 1 b W 4 1 L D R 9 J n F 1 b 3 Q 7 X S w m c X V v d D t S Z W x h d G l v b n N o a X B J b m Z v J n F 1 b 3 Q 7 O l t d f S I g L z 4 8 L 1 N 0 Y W J s Z U V u d H J p Z X M + P C 9 J d G V t P j x J d G V t P j x J d G V t T G 9 j Y X R p b 2 4 + P E l 0 Z W 1 U e X B l P k Z v c m 1 1 b G E 8 L 0 l 0 Z W 1 U e X B l P j x J d G V t U G F 0 a D 5 T Z W N 0 a W 9 u M S 9 z Z X Q t b 3 V 0 L T I w M j M v R m 9 u d G U 8 L 0 l 0 Z W 1 Q Y X R o P j w v S X R l b U x v Y 2 F 0 a W 9 u P j x T d G F i b G V F b n R y a W V z I C 8 + P C 9 J d G V t P j x J d G V t P j x J d G V t T G 9 j Y X R p b 2 4 + P E l 0 Z W 1 U e X B l P k Z v c m 1 1 b G E 8 L 0 l 0 Z W 1 U e X B l P j x J d G V t U G F 0 a D 5 T Z W N 0 a W 9 u M S 9 z Z X Q t b 3 V 0 L T I w M j M v V G l w b y U y M E F s d G V y Y W R v P C 9 J d G V t U G F 0 a D 4 8 L 0 l 0 Z W 1 M b 2 N h d G l v b j 4 8 U 3 R h Y m x l R W 5 0 c m l l c y A v P j w v S X R l b T 4 8 S X R l b T 4 8 S X R l b U x v Y 2 F 0 a W 9 u P j x J d G V t V H l w Z T 5 G b 3 J t d W x h P C 9 J d G V t V H l w Z T 4 8 S X R l b V B h d G g + U 2 V j d G l v b j E v c 2 V 0 L W 9 1 d C 0 y M D I z L 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D I i I C 8 + P E V u d H J 5 I F R 5 c G U 9 I k Z p b G x F c n J v c k N v Z G U i I F Z h b H V l P S J z V W 5 r b m 9 3 b i I g L z 4 8 R W 5 0 c n k g V H l w Z T 0 i R m l s b E V y c m 9 y Q 2 9 1 b n Q i I F Z h b H V l P S J s M C I g L z 4 8 R W 5 0 c n k g V H l w Z T 0 i R m l s b E x h c 3 R V c G R h d G V k I i B W Y W x 1 Z T 0 i Z D I w M j M t M D c t M D N U M T Q 6 M j g 6 M D U u M j M 1 N z M y M 1 o i I C 8 + P E V u d H J 5 I F R 5 c G U 9 I k Z p b G x D b 2 x 1 b W 5 U e X B l c y I g V m F s d W U 9 I n N C Z 0 1 H Q m d Z P S I g L z 4 8 R W 5 0 c n k g V H l w Z T 0 i R m l s b E N v b H V t b k 5 h b W V z I i B W Y W x 1 Z T 0 i c 1 s m c X V v d D t D b 2 x 1 b W 4 x J n F 1 b 3 Q 7 L C Z x d W 9 0 O 0 N v b H V t b j I m c X V v d D s s J n F 1 b 3 Q 7 Q 2 9 s d W 1 u M y Z x d W 9 0 O y w m c X V v d D t D b 2 x 1 b W 4 0 J n F 1 b 3 Q 7 L C Z x d W 9 0 O 0 N v b H V t b j U 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z Z X Q t b 3 V 0 L T I w M j M t M y 9 U a X B v I E F s d G V y Y W R v L n t D b 2 x 1 b W 4 x L D B 9 J n F 1 b 3 Q 7 L C Z x d W 9 0 O 1 N l Y 3 R p b 2 4 x L 3 N l d C 1 v d X Q t M j A y M y 0 z L 1 R p c G 8 g Q W x 0 Z X J h Z G 8 u e 0 N v b H V t b j I s M X 0 m c X V v d D s s J n F 1 b 3 Q 7 U 2 V j d G l v b j E v c 2 V 0 L W 9 1 d C 0 y M D I z L T M v V G l w b y B B b H R l c m F k b y 5 7 Q 2 9 s d W 1 u M y w y f S Z x d W 9 0 O y w m c X V v d D t T Z W N 0 a W 9 u M S 9 z Z X Q t b 3 V 0 L T I w M j M t M y 9 U a X B v I E F s d G V y Y W R v L n t D b 2 x 1 b W 4 0 L D N 9 J n F 1 b 3 Q 7 L C Z x d W 9 0 O 1 N l Y 3 R p b 2 4 x L 3 N l d C 1 v d X Q t M j A y M y 0 z L 1 R p c G 8 g Q W x 0 Z X J h Z G 8 u e 0 N v b H V t b j U s N H 0 m c X V v d D t d L C Z x d W 9 0 O 0 N v b H V t b k N v d W 5 0 J n F 1 b 3 Q 7 O j U s J n F 1 b 3 Q 7 S 2 V 5 Q 2 9 s d W 1 u T m F t Z X M m c X V v d D s 6 W 1 0 s J n F 1 b 3 Q 7 Q 2 9 s d W 1 u S W R l b n R p d G l l c y Z x d W 9 0 O z p b J n F 1 b 3 Q 7 U 2 V j d G l v b j E v c 2 V 0 L W 9 1 d C 0 y M D I z L T M v V G l w b y B B b H R l c m F k b y 5 7 Q 2 9 s d W 1 u M S w w f S Z x d W 9 0 O y w m c X V v d D t T Z W N 0 a W 9 u M S 9 z Z X Q t b 3 V 0 L T I w M j M t M y 9 U a X B v I E F s d G V y Y W R v L n t D b 2 x 1 b W 4 y L D F 9 J n F 1 b 3 Q 7 L C Z x d W 9 0 O 1 N l Y 3 R p b 2 4 x L 3 N l d C 1 v d X Q t M j A y M y 0 z L 1 R p c G 8 g Q W x 0 Z X J h Z G 8 u e 0 N v b H V t b j M s M n 0 m c X V v d D s s J n F 1 b 3 Q 7 U 2 V j d G l v b j E v c 2 V 0 L W 9 1 d C 0 y M D I z L T M v V G l w b y B B b H R l c m F k b y 5 7 Q 2 9 s d W 1 u N C w z f S Z x d W 9 0 O y w m c X V v d D t T Z W N 0 a W 9 u M S 9 z Z X Q t b 3 V 0 L T I w M j M t M y 9 U a X B v I E F s d G V y Y W R v L n t D b 2 x 1 b W 4 1 L D R 9 J n F 1 b 3 Q 7 X S w m c X V v d D t S Z W x h d G l v b n N o a X B J b m Z v J n F 1 b 3 Q 7 O l t d f S I g L z 4 8 L 1 N 0 Y W J s Z U V u d H J p Z X M + P C 9 J d G V t P j x J d G V t P j x J d G V t T G 9 j Y X R p b 2 4 + P E l 0 Z W 1 U e X B l P k Z v c m 1 1 b G E 8 L 0 l 0 Z W 1 U e X B l P j x J d G V t U G F 0 a D 5 T Z W N 0 a W 9 u M S 9 z Z X Q t b 3 V 0 L T I w M j M t M y 9 G b 2 5 0 Z T w v S X R l b V B h d G g + P C 9 J d G V t T G 9 j Y X R p b 2 4 + P F N 0 Y W J s Z U V u d H J p Z X M g L z 4 8 L 0 l 0 Z W 0 + P E l 0 Z W 0 + P E l 0 Z W 1 M b 2 N h d G l v b j 4 8 S X R l b V R 5 c G U + R m 9 y b X V s Y T w v S X R l b V R 5 c G U + P E l 0 Z W 1 Q Y X R o P l N l Y 3 R p b 2 4 x L 3 N l d C 1 v d X Q t M j A y M y 0 z L 1 R p c G 8 l M j B B b H R l c m F k b z w v S X R l b V B h d G g + P C 9 J d G V t T G 9 j Y X R p b 2 4 + P F N 0 Y W J s Z U V u d H J p Z X M g L z 4 8 L 0 l 0 Z W 0 + P E l 0 Z W 0 + P E l 0 Z W 1 M b 2 N h d G l v b j 4 8 S X R l b V R 5 c G U + R m 9 y b X V s Y T w v S X R l b V R 5 c G U + P E l 0 Z W 1 Q Y X R o P l N l Y 3 R p b 2 4 x L 3 N l d C 1 v d X Q t M j A y M y 0 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N i I g L z 4 8 R W 5 0 c n k g V H l w Z T 0 i R m l s b E V y c m 9 y Q 2 9 k Z S I g V m F s d W U 9 I n N V b m t u b 3 d u I i A v P j x F b n R y e S B U e X B l P S J G a W x s R X J y b 3 J D b 3 V u d C I g V m F s d W U 9 I m w w I i A v P j x F b n R y e S B U e X B l P S J G a W x s T G F z d F V w Z G F 0 Z W Q i I F Z h b H V l P S J k M j A y M y 0 w N y 0 w M 1 Q x N D o z M D o 1 N C 4 3 M T U 0 M D E z W i I g L z 4 8 R W 5 0 c n k g V H l w Z T 0 i R m l s b E N v b H V t b l R 5 c G V z I i B W Y W x 1 Z T 0 i c 0 J n a 0 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z Z X Q t b 3 V 0 L T I w M j M t N C 9 U a X B v I E F s d G V y Y W R v L n t D b 2 x 1 b W 4 x L D B 9 J n F 1 b 3 Q 7 L C Z x d W 9 0 O 1 N l Y 3 R p b 2 4 x L 3 N l d C 1 v d X Q t M j A y M y 0 0 L 1 R p c G 8 g Q W x 0 Z X J h Z G 8 u e 0 N v b H V t b j I s M X 0 m c X V v d D s s J n F 1 b 3 Q 7 U 2 V j d G l v b j E v c 2 V 0 L W 9 1 d C 0 y M D I z L T Q v V G l w b y B B b H R l c m F k b y 5 7 Q 2 9 s d W 1 u M y w y f S Z x d W 9 0 O 1 0 s J n F 1 b 3 Q 7 Q 2 9 s d W 1 u Q 2 9 1 b n Q m c X V v d D s 6 M y w m c X V v d D t L Z X l D b 2 x 1 b W 5 O Y W 1 l c y Z x d W 9 0 O z p b X S w m c X V v d D t D b 2 x 1 b W 5 J Z G V u d G l 0 a W V z J n F 1 b 3 Q 7 O l s m c X V v d D t T Z W N 0 a W 9 u M S 9 z Z X Q t b 3 V 0 L T I w M j M t N C 9 U a X B v I E F s d G V y Y W R v L n t D b 2 x 1 b W 4 x L D B 9 J n F 1 b 3 Q 7 L C Z x d W 9 0 O 1 N l Y 3 R p b 2 4 x L 3 N l d C 1 v d X Q t M j A y M y 0 0 L 1 R p c G 8 g Q W x 0 Z X J h Z G 8 u e 0 N v b H V t b j I s M X 0 m c X V v d D s s J n F 1 b 3 Q 7 U 2 V j d G l v b j E v c 2 V 0 L W 9 1 d C 0 y M D I z L T Q v V G l w b y B B b H R l c m F k b y 5 7 Q 2 9 s d W 1 u M y w y f S Z x d W 9 0 O 1 0 s J n F 1 b 3 Q 7 U m V s Y X R p b 2 5 z a G l w S W 5 m b y Z x d W 9 0 O z p b X X 0 i I C 8 + P C 9 T d G F i b G V F b n R y a W V z P j w v S X R l b T 4 8 S X R l b T 4 8 S X R l b U x v Y 2 F 0 a W 9 u P j x J d G V t V H l w Z T 5 G b 3 J t d W x h P C 9 J d G V t V H l w Z T 4 8 S X R l b V B h d G g + U 2 V j d G l v b j E v c 2 V 0 L W 9 1 d C 0 y M D I z L T Q v R m 9 u d G U 8 L 0 l 0 Z W 1 Q Y X R o P j w v S X R l b U x v Y 2 F 0 a W 9 u P j x T d G F i b G V F b n R y a W V z I C 8 + P C 9 J d G V t P j x J d G V t P j x J d G V t T G 9 j Y X R p b 2 4 + P E l 0 Z W 1 U e X B l P k Z v c m 1 1 b G E 8 L 0 l 0 Z W 1 U e X B l P j x J d G V t U G F 0 a D 5 T Z W N 0 a W 9 u M S 9 z Z X Q t b 3 V 0 L T I w M j M t N C 9 U a X B v J T I w Q W x 0 Z X J h Z G 8 8 L 0 l 0 Z W 1 Q Y X R o P j w v S X R l b U x v Y 2 F 0 a W 9 u P j x T d G F i b G V F b n R y a W V z I C 8 + P C 9 J d G V t P j x J d G V t P j x J d G V t T G 9 j Y X R p b 2 4 + P E l 0 Z W 1 U e X B l P k Z v c m 1 1 b G E 8 L 0 l 0 Z W 1 U e X B l P j x J d G V t U G F 0 a D 5 T Z W N 0 a W 9 u M S 9 u b 3 Y t Z G V 6 L T I w M j 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D I i I C 8 + P E V u d H J 5 I F R 5 c G U 9 I k Z p b G x F c n J v c k N v Z G U i I F Z h b H V l P S J z V W 5 r b m 9 3 b i I g L z 4 8 R W 5 0 c n k g V H l w Z T 0 i R m l s b E V y c m 9 y Q 2 9 1 b n Q i I F Z h b H V l P S J s M C I g L z 4 8 R W 5 0 c n k g V H l w Z T 0 i R m l s b E x h c 3 R V c G R h d G V k I i B W Y W x 1 Z T 0 i Z D I w M j M t M D c t M D N U M T Q 6 N T c 6 N T k u N j A w M D Q x N l o i I C 8 + P E V u d H J 5 I F R 5 c G U 9 I k Z p b G x D b 2 x 1 b W 5 U e X B l c y I g V m F s d W U 9 I n N C Z 2 t 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b m 9 2 L W R l e i 0 y M D I z L 1 R p c G 8 g Q W x 0 Z X J h Z G 8 u e 0 N v b H V t b j E s M H 0 m c X V v d D s s J n F 1 b 3 Q 7 U 2 V j d G l v b j E v b m 9 2 L W R l e i 0 y M D I z L 1 R p c G 8 g Q W x 0 Z X J h Z G 8 u e 0 N v b H V t b j I s M X 0 m c X V v d D s s J n F 1 b 3 Q 7 U 2 V j d G l v b j E v b m 9 2 L W R l e i 0 y M D I z L 1 R p c G 8 g Q W x 0 Z X J h Z G 8 u e 0 N v b H V t b j M s M n 0 m c X V v d D t d L C Z x d W 9 0 O 0 N v b H V t b k N v d W 5 0 J n F 1 b 3 Q 7 O j M s J n F 1 b 3 Q 7 S 2 V 5 Q 2 9 s d W 1 u T m F t Z X M m c X V v d D s 6 W 1 0 s J n F 1 b 3 Q 7 Q 2 9 s d W 1 u S W R l b n R p d G l l c y Z x d W 9 0 O z p b J n F 1 b 3 Q 7 U 2 V j d G l v b j E v b m 9 2 L W R l e i 0 y M D I z L 1 R p c G 8 g Q W x 0 Z X J h Z G 8 u e 0 N v b H V t b j E s M H 0 m c X V v d D s s J n F 1 b 3 Q 7 U 2 V j d G l v b j E v b m 9 2 L W R l e i 0 y M D I z L 1 R p c G 8 g Q W x 0 Z X J h Z G 8 u e 0 N v b H V t b j I s M X 0 m c X V v d D s s J n F 1 b 3 Q 7 U 2 V j d G l v b j E v b m 9 2 L W R l e i 0 y M D I z L 1 R p c G 8 g Q W x 0 Z X J h Z G 8 u e 0 N v b H V t b j M s M n 0 m c X V v d D t d L C Z x d W 9 0 O 1 J l b G F 0 a W 9 u c 2 h p c E l u Z m 8 m c X V v d D s 6 W 1 1 9 I i A v P j w v U 3 R h Y m x l R W 5 0 c m l l c z 4 8 L 0 l 0 Z W 0 + P E l 0 Z W 0 + P E l 0 Z W 1 M b 2 N h d G l v b j 4 8 S X R l b V R 5 c G U + R m 9 y b X V s Y T w v S X R l b V R 5 c G U + P E l 0 Z W 1 Q Y X R o P l N l Y 3 R p b 2 4 x L 2 5 v d i 1 k Z X o t M j A y M y 9 G b 2 5 0 Z T w v S X R l b V B h d G g + P C 9 J d G V t T G 9 j Y X R p b 2 4 + P F N 0 Y W J s Z U V u d H J p Z X M g L z 4 8 L 0 l 0 Z W 0 + P E l 0 Z W 0 + P E l 0 Z W 1 M b 2 N h d G l v b j 4 8 S X R l b V R 5 c G U + R m 9 y b X V s Y T w v S X R l b V R 5 c G U + P E l 0 Z W 1 Q Y X R o P l N l Y 3 R p b 2 4 x L 2 5 v d i 1 k Z X o t M j A y M y 9 U a X B v J T I w Q W x 0 Z X J h Z G 8 8 L 0 l 0 Z W 1 Q Y X R o P j w v S X R l b U x v Y 2 F 0 a W 9 u P j x T d G F i b G V F b n R y a W V z I C 8 + P C 9 J d G V t P j w v S X R l b X M + P C 9 M b 2 N h b F B h Y 2 t h Z 2 V N Z X R h Z G F 0 Y U Z p b G U + F g A A A F B L B Q Y A A A A A A A A A A A A A A A A A A A A A A A D a A A A A A Q A A A N C M n d 8 B F d E R j H o A w E / C l + s B A A A A G 2 1 m c 6 o l L E a H F b X L 3 R R 9 L Q A A A A A C A A A A A A A D Z g A A w A A A A B A A A A C 6 7 2 U 3 9 X Q a I 3 8 x 9 K w 0 2 / o 9 A A A A A A S A A A C g A A A A E A A A A L L 6 i N a j L w T t N q 7 X B Q d N A + h Q A A A A U g B h B 8 m G B W C 0 E k i L H f 8 J u p A L W A f U 5 / 9 j / 0 e G a v O d z 0 4 Q m M D N u U J 6 R k B h Y u f u H V O B N R R f o l 0 M R w z O m J 0 q t n c 4 l d U 9 t o X 5 t c R F E b T u C 5 l 7 n 7 0 U A A A A Z h v G R X q l v 3 C c p z x T 3 J k 4 h 3 j p t G 4 = < / D a t a M a s h u p > 
</file>

<file path=customXml/itemProps1.xml><?xml version="1.0" encoding="utf-8"?>
<ds:datastoreItem xmlns:ds="http://schemas.openxmlformats.org/officeDocument/2006/customXml" ds:itemID="{2190F112-879C-4030-A25C-1D3981B7E655}">
  <ds:schemaRefs>
    <ds:schemaRef ds:uri="http://schemas.microsoft.com/sharepoint/v3/contenttype/forms"/>
  </ds:schemaRefs>
</ds:datastoreItem>
</file>

<file path=customXml/itemProps2.xml><?xml version="1.0" encoding="utf-8"?>
<ds:datastoreItem xmlns:ds="http://schemas.openxmlformats.org/officeDocument/2006/customXml" ds:itemID="{8BADA420-9F2F-4455-BE8D-51DAE20C25A4}">
  <ds:schemaRefs>
    <ds:schemaRef ds:uri="http://schemas.openxmlformats.org/package/2006/metadata/core-properties"/>
    <ds:schemaRef ds:uri="http://purl.org/dc/elements/1.1/"/>
    <ds:schemaRef ds:uri="http://schemas.microsoft.com/sharepoint/v3"/>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0d24ca4d-8056-4c07-9fe8-c374dedb8667"/>
    <ds:schemaRef ds:uri="ad316973-8349-4ba1-8b8c-595395fbce67"/>
  </ds:schemaRefs>
</ds:datastoreItem>
</file>

<file path=customXml/itemProps3.xml><?xml version="1.0" encoding="utf-8"?>
<ds:datastoreItem xmlns:ds="http://schemas.openxmlformats.org/officeDocument/2006/customXml" ds:itemID="{EC8856AE-D22C-4707-89F2-371FB4D8C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316973-8349-4ba1-8b8c-595395fbce67"/>
    <ds:schemaRef ds:uri="0d24ca4d-8056-4c07-9fe8-c374dedb8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F5685B-6E25-49BE-B701-C7D75B8E05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7</vt:i4>
      </vt:variant>
    </vt:vector>
  </HeadingPairs>
  <TitlesOfParts>
    <vt:vector size="11" baseType="lpstr">
      <vt:lpstr>Início</vt:lpstr>
      <vt:lpstr>JUL-AGO</vt:lpstr>
      <vt:lpstr>SET-OUT</vt:lpstr>
      <vt:lpstr>NOV-DEZ</vt:lpstr>
      <vt:lpstr>'JUL-AGO'!AnoDoCalendário</vt:lpstr>
      <vt:lpstr>'NOV-DEZ'!AnoDoCalendário</vt:lpstr>
      <vt:lpstr>'SET-OUT'!AnoDoCalendário</vt:lpstr>
      <vt:lpstr>'JUL-AGO'!Area_de_impressao</vt:lpstr>
      <vt:lpstr>'NOV-DEZ'!Area_de_impressao</vt:lpstr>
      <vt:lpstr>'SET-OUT'!Area_de_impressao</vt:lpstr>
      <vt:lpst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Tunes Fonseca</dc:creator>
  <cp:keywords/>
  <dc:description/>
  <cp:lastModifiedBy>EMMANUELE SANTANA DA CONCEICAO</cp:lastModifiedBy>
  <cp:revision/>
  <dcterms:created xsi:type="dcterms:W3CDTF">2017-11-29T09:38:15Z</dcterms:created>
  <dcterms:modified xsi:type="dcterms:W3CDTF">2024-11-22T16:19:52Z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0x010100B91ED55D7414D9428E3B8FE8DA09B7ED</vt:lpwstr>
  </property>
  <property fmtid="{D5CDD505-2E9C-101B-9397-08002B2CF9AE}" pid="3" name="MSIP_Label_49600cda-37c1-4df3-a918-ef3b66d6b7ba_Enabled">
    <vt:lpwstr>true</vt:lpwstr>
  </property>
  <property fmtid="{D5CDD505-2E9C-101B-9397-08002B2CF9AE}" pid="4" name="MSIP_Label_49600cda-37c1-4df3-a918-ef3b66d6b7ba_SetDate">
    <vt:lpwstr>2024-01-23T16:45:43Z</vt:lpwstr>
  </property>
  <property fmtid="{D5CDD505-2E9C-101B-9397-08002B2CF9AE}" pid="5" name="MSIP_Label_49600cda-37c1-4df3-a918-ef3b66d6b7ba_Method">
    <vt:lpwstr>Privileged</vt:lpwstr>
  </property>
  <property fmtid="{D5CDD505-2E9C-101B-9397-08002B2CF9AE}" pid="6" name="MSIP_Label_49600cda-37c1-4df3-a918-ef3b66d6b7ba_Name">
    <vt:lpwstr>MG - Uso Interno</vt:lpwstr>
  </property>
  <property fmtid="{D5CDD505-2E9C-101B-9397-08002B2CF9AE}" pid="7" name="MSIP_Label_49600cda-37c1-4df3-a918-ef3b66d6b7ba_SiteId">
    <vt:lpwstr>97298271-1bd7-4ac5-935b-88addef636cc</vt:lpwstr>
  </property>
  <property fmtid="{D5CDD505-2E9C-101B-9397-08002B2CF9AE}" pid="8" name="MSIP_Label_49600cda-37c1-4df3-a918-ef3b66d6b7ba_ActionId">
    <vt:lpwstr>971c9e37-3c5d-44ff-a2c7-de76058efe3c</vt:lpwstr>
  </property>
  <property fmtid="{D5CDD505-2E9C-101B-9397-08002B2CF9AE}" pid="9" name="MSIP_Label_49600cda-37c1-4df3-a918-ef3b66d6b7ba_ContentBits">
    <vt:lpwstr>1</vt:lpwstr>
  </property>
</Properties>
</file>