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2025\"/>
    </mc:Choice>
  </mc:AlternateContent>
  <bookViews>
    <workbookView xWindow="0" yWindow="0" windowWidth="16380" windowHeight="8190" tabRatio="500" firstSheet="2" activeTab="4"/>
  </bookViews>
  <sheets>
    <sheet name="Precificação Cerveja skin 350ml" sheetId="1" r:id="rId1"/>
    <sheet name="Precificação Coca Cola 2lt " sheetId="3" r:id="rId2"/>
    <sheet name="Precificação Heiniek" sheetId="4" r:id="rId3"/>
    <sheet name="Precificação Ka Churrasco" sheetId="5" r:id="rId4"/>
    <sheet name="Precificação " sheetId="6" r:id="rId5"/>
    <sheet name="Precificar - Portifolio" sheetId="2" r:id="rId6"/>
  </sheets>
  <definedNames>
    <definedName name="_xlnm._FilterDatabase" localSheetId="5" hidden="1">'Precificar - Portifolio'!$A$5:$Q$5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" i="6" l="1"/>
  <c r="D18" i="6"/>
  <c r="F32" i="6"/>
  <c r="D16" i="6"/>
  <c r="F18" i="6"/>
  <c r="F17" i="6"/>
  <c r="L15" i="6"/>
  <c r="D24" i="6"/>
  <c r="F36" i="6"/>
  <c r="F15" i="6" l="1"/>
  <c r="D15" i="6"/>
  <c r="D11" i="6"/>
  <c r="D17" i="6" l="1"/>
  <c r="I32" i="6"/>
  <c r="F38" i="6" l="1"/>
  <c r="F37" i="6"/>
  <c r="L32" i="6"/>
  <c r="L40" i="6" s="1"/>
  <c r="F16" i="6"/>
  <c r="F14" i="6"/>
  <c r="B14" i="6"/>
  <c r="B15" i="6" s="1"/>
  <c r="F13" i="6"/>
  <c r="F12" i="6"/>
  <c r="F11" i="6"/>
  <c r="F10" i="6"/>
  <c r="F9" i="6"/>
  <c r="G23" i="5"/>
  <c r="E35" i="5"/>
  <c r="L15" i="5"/>
  <c r="F19" i="5"/>
  <c r="F18" i="5"/>
  <c r="F17" i="5"/>
  <c r="F16" i="5"/>
  <c r="F15" i="5"/>
  <c r="F14" i="5"/>
  <c r="F13" i="5"/>
  <c r="F12" i="5"/>
  <c r="F11" i="5"/>
  <c r="F10" i="5"/>
  <c r="F9" i="5"/>
  <c r="I41" i="6" l="1"/>
  <c r="F34" i="6"/>
  <c r="B22" i="6"/>
  <c r="L34" i="6"/>
  <c r="B20" i="6" s="1"/>
  <c r="B21" i="6" s="1"/>
  <c r="B19" i="6"/>
  <c r="I8" i="5"/>
  <c r="F29" i="5"/>
  <c r="F28" i="5"/>
  <c r="F27" i="5"/>
  <c r="L23" i="5"/>
  <c r="B14" i="5"/>
  <c r="B15" i="5" s="1"/>
  <c r="C2" i="2"/>
  <c r="C3" i="2"/>
  <c r="I33" i="4"/>
  <c r="E31" i="4"/>
  <c r="F29" i="4"/>
  <c r="F28" i="4"/>
  <c r="F27" i="4"/>
  <c r="L23" i="4"/>
  <c r="B14" i="4"/>
  <c r="B15" i="4" s="1"/>
  <c r="E31" i="3"/>
  <c r="F29" i="3"/>
  <c r="F28" i="3"/>
  <c r="F27" i="3"/>
  <c r="L23" i="3"/>
  <c r="B14" i="3"/>
  <c r="B15" i="3" s="1"/>
  <c r="E31" i="1"/>
  <c r="I30" i="2"/>
  <c r="H30" i="2"/>
  <c r="J30" i="2" s="1"/>
  <c r="Q30" i="2" s="1"/>
  <c r="D30" i="2"/>
  <c r="E30" i="2" s="1"/>
  <c r="I29" i="2"/>
  <c r="H29" i="2"/>
  <c r="J29" i="2" s="1"/>
  <c r="Q29" i="2" s="1"/>
  <c r="D29" i="2"/>
  <c r="E29" i="2" s="1"/>
  <c r="I28" i="2"/>
  <c r="H28" i="2"/>
  <c r="J28" i="2" s="1"/>
  <c r="Q28" i="2" s="1"/>
  <c r="D28" i="2"/>
  <c r="E28" i="2" s="1"/>
  <c r="I27" i="2"/>
  <c r="H27" i="2"/>
  <c r="J27" i="2" s="1"/>
  <c r="Q27" i="2" s="1"/>
  <c r="D27" i="2"/>
  <c r="E27" i="2" s="1"/>
  <c r="I26" i="2"/>
  <c r="H26" i="2"/>
  <c r="J26" i="2" s="1"/>
  <c r="Q26" i="2" s="1"/>
  <c r="D26" i="2"/>
  <c r="E26" i="2" s="1"/>
  <c r="I25" i="2"/>
  <c r="H25" i="2"/>
  <c r="J25" i="2" s="1"/>
  <c r="Q25" i="2" s="1"/>
  <c r="D25" i="2"/>
  <c r="E25" i="2" s="1"/>
  <c r="I24" i="2"/>
  <c r="H24" i="2"/>
  <c r="J24" i="2" s="1"/>
  <c r="Q24" i="2" s="1"/>
  <c r="D24" i="2"/>
  <c r="E24" i="2" s="1"/>
  <c r="I23" i="2"/>
  <c r="H23" i="2"/>
  <c r="J23" i="2" s="1"/>
  <c r="Q23" i="2" s="1"/>
  <c r="D23" i="2"/>
  <c r="E23" i="2" s="1"/>
  <c r="I22" i="2"/>
  <c r="H22" i="2"/>
  <c r="J22" i="2" s="1"/>
  <c r="Q22" i="2" s="1"/>
  <c r="D22" i="2"/>
  <c r="E22" i="2" s="1"/>
  <c r="I21" i="2"/>
  <c r="H21" i="2"/>
  <c r="J21" i="2" s="1"/>
  <c r="Q21" i="2" s="1"/>
  <c r="D21" i="2"/>
  <c r="E21" i="2" s="1"/>
  <c r="I20" i="2"/>
  <c r="H20" i="2"/>
  <c r="J20" i="2" s="1"/>
  <c r="Q20" i="2" s="1"/>
  <c r="D20" i="2"/>
  <c r="E20" i="2" s="1"/>
  <c r="I19" i="2"/>
  <c r="H19" i="2"/>
  <c r="J19" i="2" s="1"/>
  <c r="Q19" i="2" s="1"/>
  <c r="D19" i="2"/>
  <c r="E19" i="2" s="1"/>
  <c r="I18" i="2"/>
  <c r="H18" i="2"/>
  <c r="J18" i="2" s="1"/>
  <c r="Q18" i="2" s="1"/>
  <c r="D18" i="2"/>
  <c r="E18" i="2" s="1"/>
  <c r="I17" i="2"/>
  <c r="H17" i="2"/>
  <c r="J17" i="2" s="1"/>
  <c r="Q17" i="2" s="1"/>
  <c r="D17" i="2"/>
  <c r="E17" i="2" s="1"/>
  <c r="I16" i="2"/>
  <c r="H16" i="2"/>
  <c r="J16" i="2" s="1"/>
  <c r="Q16" i="2" s="1"/>
  <c r="D16" i="2"/>
  <c r="E16" i="2" s="1"/>
  <c r="I15" i="2"/>
  <c r="H15" i="2"/>
  <c r="J15" i="2" s="1"/>
  <c r="Q15" i="2" s="1"/>
  <c r="D15" i="2"/>
  <c r="E15" i="2" s="1"/>
  <c r="I14" i="2"/>
  <c r="H14" i="2"/>
  <c r="J14" i="2" s="1"/>
  <c r="Q14" i="2" s="1"/>
  <c r="D14" i="2"/>
  <c r="E14" i="2" s="1"/>
  <c r="I13" i="2"/>
  <c r="H13" i="2"/>
  <c r="J13" i="2" s="1"/>
  <c r="Q13" i="2" s="1"/>
  <c r="D13" i="2"/>
  <c r="E13" i="2" s="1"/>
  <c r="I12" i="2"/>
  <c r="H12" i="2"/>
  <c r="J12" i="2" s="1"/>
  <c r="Q12" i="2" s="1"/>
  <c r="D12" i="2"/>
  <c r="E12" i="2" s="1"/>
  <c r="I11" i="2"/>
  <c r="H11" i="2"/>
  <c r="J11" i="2" s="1"/>
  <c r="Q11" i="2" s="1"/>
  <c r="D11" i="2"/>
  <c r="E11" i="2" s="1"/>
  <c r="I10" i="2"/>
  <c r="H10" i="2"/>
  <c r="J10" i="2" s="1"/>
  <c r="Q10" i="2" s="1"/>
  <c r="D10" i="2"/>
  <c r="E10" i="2" s="1"/>
  <c r="I9" i="2"/>
  <c r="H9" i="2"/>
  <c r="J9" i="2" s="1"/>
  <c r="Q9" i="2" s="1"/>
  <c r="D9" i="2"/>
  <c r="E9" i="2" s="1"/>
  <c r="I8" i="2"/>
  <c r="H8" i="2"/>
  <c r="J8" i="2" s="1"/>
  <c r="Q8" i="2" s="1"/>
  <c r="D8" i="2"/>
  <c r="E8" i="2" s="1"/>
  <c r="I7" i="2"/>
  <c r="H7" i="2"/>
  <c r="J7" i="2" s="1"/>
  <c r="Q7" i="2" s="1"/>
  <c r="D7" i="2"/>
  <c r="E7" i="2" s="1"/>
  <c r="I6" i="2"/>
  <c r="H6" i="2"/>
  <c r="J6" i="2" s="1"/>
  <c r="Q6" i="2" s="1"/>
  <c r="E6" i="2"/>
  <c r="F29" i="1"/>
  <c r="F28" i="1"/>
  <c r="F27" i="1"/>
  <c r="L23" i="1"/>
  <c r="B14" i="1"/>
  <c r="B15" i="1" s="1"/>
  <c r="I40" i="6" l="1"/>
  <c r="I42" i="6" s="1"/>
  <c r="I43" i="6" s="1"/>
  <c r="B17" i="6"/>
  <c r="B18" i="6" s="1"/>
  <c r="F23" i="5"/>
  <c r="B17" i="5" s="1"/>
  <c r="B19" i="5"/>
  <c r="L31" i="5"/>
  <c r="L25" i="5"/>
  <c r="I31" i="5" s="1"/>
  <c r="F23" i="4"/>
  <c r="B19" i="4"/>
  <c r="B17" i="4"/>
  <c r="B22" i="4"/>
  <c r="I32" i="4"/>
  <c r="F25" i="4"/>
  <c r="B18" i="4"/>
  <c r="L25" i="4"/>
  <c r="I31" i="4" s="1"/>
  <c r="L31" i="4"/>
  <c r="F23" i="1"/>
  <c r="B22" i="1" s="1"/>
  <c r="F23" i="3"/>
  <c r="B22" i="3"/>
  <c r="I32" i="3"/>
  <c r="F25" i="3"/>
  <c r="B17" i="3"/>
  <c r="B19" i="3"/>
  <c r="L31" i="3"/>
  <c r="L25" i="3"/>
  <c r="I31" i="3" s="1"/>
  <c r="L25" i="1"/>
  <c r="I31" i="1" s="1"/>
  <c r="B19" i="1"/>
  <c r="L31" i="1"/>
  <c r="K6" i="2"/>
  <c r="L6" i="2" s="1"/>
  <c r="O6" i="2" s="1"/>
  <c r="P6" i="2" s="1"/>
  <c r="N6" i="2"/>
  <c r="N8" i="2"/>
  <c r="K8" i="2"/>
  <c r="L8" i="2" s="1"/>
  <c r="O8" i="2" s="1"/>
  <c r="P8" i="2" s="1"/>
  <c r="N9" i="2"/>
  <c r="K9" i="2"/>
  <c r="N10" i="2"/>
  <c r="K10" i="2"/>
  <c r="L10" i="2" s="1"/>
  <c r="O10" i="2" s="1"/>
  <c r="P10" i="2" s="1"/>
  <c r="N11" i="2"/>
  <c r="K11" i="2"/>
  <c r="L11" i="2" s="1"/>
  <c r="O11" i="2" s="1"/>
  <c r="P11" i="2" s="1"/>
  <c r="N12" i="2"/>
  <c r="K12" i="2"/>
  <c r="L12" i="2" s="1"/>
  <c r="O12" i="2" s="1"/>
  <c r="P12" i="2" s="1"/>
  <c r="N13" i="2"/>
  <c r="K13" i="2"/>
  <c r="L13" i="2" s="1"/>
  <c r="O13" i="2" s="1"/>
  <c r="P13" i="2" s="1"/>
  <c r="N14" i="2"/>
  <c r="K14" i="2"/>
  <c r="L14" i="2" s="1"/>
  <c r="O14" i="2" s="1"/>
  <c r="P14" i="2" s="1"/>
  <c r="N15" i="2"/>
  <c r="K15" i="2"/>
  <c r="L15" i="2" s="1"/>
  <c r="O15" i="2" s="1"/>
  <c r="P15" i="2" s="1"/>
  <c r="N16" i="2"/>
  <c r="K16" i="2"/>
  <c r="L16" i="2" s="1"/>
  <c r="O16" i="2" s="1"/>
  <c r="P16" i="2" s="1"/>
  <c r="N17" i="2"/>
  <c r="K17" i="2"/>
  <c r="L17" i="2" s="1"/>
  <c r="O17" i="2" s="1"/>
  <c r="P17" i="2" s="1"/>
  <c r="N18" i="2"/>
  <c r="K18" i="2"/>
  <c r="L18" i="2" s="1"/>
  <c r="O18" i="2" s="1"/>
  <c r="P18" i="2" s="1"/>
  <c r="N19" i="2"/>
  <c r="K19" i="2"/>
  <c r="N20" i="2"/>
  <c r="K20" i="2"/>
  <c r="L20" i="2" s="1"/>
  <c r="O20" i="2" s="1"/>
  <c r="P20" i="2" s="1"/>
  <c r="N21" i="2"/>
  <c r="K21" i="2"/>
  <c r="L21" i="2" s="1"/>
  <c r="O21" i="2" s="1"/>
  <c r="P21" i="2" s="1"/>
  <c r="N22" i="2"/>
  <c r="K22" i="2"/>
  <c r="L22" i="2" s="1"/>
  <c r="O22" i="2" s="1"/>
  <c r="P22" i="2" s="1"/>
  <c r="N23" i="2"/>
  <c r="K23" i="2"/>
  <c r="N24" i="2"/>
  <c r="K24" i="2"/>
  <c r="L24" i="2" s="1"/>
  <c r="O24" i="2" s="1"/>
  <c r="P24" i="2" s="1"/>
  <c r="N25" i="2"/>
  <c r="K25" i="2"/>
  <c r="L25" i="2" s="1"/>
  <c r="O25" i="2" s="1"/>
  <c r="P25" i="2" s="1"/>
  <c r="N26" i="2"/>
  <c r="K26" i="2"/>
  <c r="L26" i="2" s="1"/>
  <c r="O26" i="2" s="1"/>
  <c r="P26" i="2" s="1"/>
  <c r="N27" i="2"/>
  <c r="K27" i="2"/>
  <c r="L27" i="2" s="1"/>
  <c r="O27" i="2" s="1"/>
  <c r="P27" i="2" s="1"/>
  <c r="N28" i="2"/>
  <c r="K28" i="2"/>
  <c r="L28" i="2" s="1"/>
  <c r="O28" i="2" s="1"/>
  <c r="P28" i="2" s="1"/>
  <c r="N29" i="2"/>
  <c r="K29" i="2"/>
  <c r="L29" i="2" s="1"/>
  <c r="O29" i="2" s="1"/>
  <c r="P29" i="2" s="1"/>
  <c r="N30" i="2"/>
  <c r="K30" i="2"/>
  <c r="L30" i="2" s="1"/>
  <c r="O30" i="2" s="1"/>
  <c r="P30" i="2" s="1"/>
  <c r="N7" i="2"/>
  <c r="K7" i="2"/>
  <c r="L7" i="2" s="1"/>
  <c r="O7" i="2" s="1"/>
  <c r="P7" i="2" s="1"/>
  <c r="I32" i="1"/>
  <c r="L9" i="2"/>
  <c r="O9" i="2" s="1"/>
  <c r="P9" i="2" s="1"/>
  <c r="L19" i="2"/>
  <c r="O19" i="2" s="1"/>
  <c r="P19" i="2" s="1"/>
  <c r="L23" i="2"/>
  <c r="O23" i="2" s="1"/>
  <c r="P23" i="2" s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B18" i="5" l="1"/>
  <c r="I32" i="5"/>
  <c r="I33" i="5" s="1"/>
  <c r="I34" i="5" s="1"/>
  <c r="B22" i="5"/>
  <c r="F25" i="5"/>
  <c r="B16" i="5"/>
  <c r="B20" i="5" s="1"/>
  <c r="B21" i="5" s="1"/>
  <c r="F25" i="1"/>
  <c r="B17" i="1"/>
  <c r="B16" i="1"/>
  <c r="B20" i="1" s="1"/>
  <c r="B21" i="1" s="1"/>
  <c r="B18" i="1"/>
  <c r="I34" i="4"/>
  <c r="B16" i="4"/>
  <c r="B20" i="4" s="1"/>
  <c r="B21" i="4" s="1"/>
  <c r="I33" i="3"/>
  <c r="I34" i="3" s="1"/>
  <c r="B18" i="3"/>
  <c r="B16" i="3"/>
  <c r="B20" i="3" s="1"/>
  <c r="B21" i="3" s="1"/>
  <c r="I33" i="1"/>
  <c r="I34" i="1" s="1"/>
</calcChain>
</file>

<file path=xl/sharedStrings.xml><?xml version="1.0" encoding="utf-8"?>
<sst xmlns="http://schemas.openxmlformats.org/spreadsheetml/2006/main" count="253" uniqueCount="88">
  <si>
    <t>Custos Variáveis</t>
  </si>
  <si>
    <t>Custos por produto</t>
  </si>
  <si>
    <t>Custos Fixos</t>
  </si>
  <si>
    <t>DAS</t>
  </si>
  <si>
    <t>Embalagens</t>
  </si>
  <si>
    <t>Aluguel *</t>
  </si>
  <si>
    <t>Energia*</t>
  </si>
  <si>
    <t>Informações do produto</t>
  </si>
  <si>
    <t>Pró-labore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</si>
  <si>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</si>
  <si>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</si>
  <si>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</si>
  <si>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</si>
  <si>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</si>
  <si>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</si>
  <si>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</si>
  <si>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</si>
  <si>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Margem Lucro atual do produto</t>
  </si>
  <si>
    <t>Porcentagem de custos váriaveis</t>
  </si>
  <si>
    <t>Total</t>
  </si>
  <si>
    <t>Porcentagem de custos variaveis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</si>
  <si>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</si>
  <si>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</si>
  <si>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</si>
  <si>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</si>
  <si>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</si>
  <si>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</si>
  <si>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</si>
  <si>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</si>
  <si>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</si>
  <si>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Os campos ena cor Cinza, preenclimento obrigatório</t>
  </si>
  <si>
    <t>DESPESAS FIXAS</t>
  </si>
  <si>
    <t>TAXA DE CARTÃO</t>
  </si>
  <si>
    <t>FATURAMENTO MENSAL</t>
  </si>
  <si>
    <t>TAXA DE IMPOSTOS</t>
  </si>
  <si>
    <t>PRODUTO</t>
  </si>
  <si>
    <t>PREÇO DE VENDA</t>
  </si>
  <si>
    <t>Nº VENDAS MENSAIS</t>
  </si>
  <si>
    <t>RECEITA DE VENDAS MENSAL</t>
  </si>
  <si>
    <t>PORCENTAGEM NO FATURAMENTO</t>
  </si>
  <si>
    <t>CUSTOS UNITARIO</t>
  </si>
  <si>
    <t>EMBALAGEM</t>
  </si>
  <si>
    <t>TAXA DE CARTAO</t>
  </si>
  <si>
    <t>IMPOSTOS</t>
  </si>
  <si>
    <t>TOTAL DE CUSTOS VARIAVEIS UN</t>
  </si>
  <si>
    <t>DESPESA FIXA UNITARIA</t>
  </si>
  <si>
    <t>CUSTO TOTAL DO PRODUTO</t>
  </si>
  <si>
    <t>MARGEM DE CONTRIBUIÇÃO</t>
  </si>
  <si>
    <t>DESPESAS FIXAS DO PRODUTO MENSAL</t>
  </si>
  <si>
    <t>LUCRO</t>
  </si>
  <si>
    <t>MARGEM DE LUCRO ATUAL DO PRODUTO</t>
  </si>
  <si>
    <t>PORCENTAGEM DE CUSTOS VARIAVEIS U.N</t>
  </si>
  <si>
    <t>Água</t>
  </si>
  <si>
    <t>Celular</t>
  </si>
  <si>
    <t>Internet</t>
  </si>
  <si>
    <t>Fornecedor</t>
  </si>
  <si>
    <t>Cerveja Skin 350ml</t>
  </si>
  <si>
    <t>Coca Cola 2lt</t>
  </si>
  <si>
    <t xml:space="preserve">Cerveja Heiniek </t>
  </si>
  <si>
    <t>Coca cola 2lt</t>
  </si>
  <si>
    <t>Informações do produto Vendido</t>
  </si>
  <si>
    <t>Espetinho</t>
  </si>
  <si>
    <t>Queijo</t>
  </si>
  <si>
    <t>Ka Churrasco</t>
  </si>
  <si>
    <t>Carne</t>
  </si>
  <si>
    <t>Pão</t>
  </si>
  <si>
    <t>Queijo Mussarela</t>
  </si>
  <si>
    <t>Batata Palha</t>
  </si>
  <si>
    <t>Tomate</t>
  </si>
  <si>
    <t>Rucula</t>
  </si>
  <si>
    <t>Alface</t>
  </si>
  <si>
    <t>Cebola</t>
  </si>
  <si>
    <t>Bacon</t>
  </si>
  <si>
    <t>Carvão</t>
  </si>
  <si>
    <t>Comissão</t>
  </si>
  <si>
    <t>Embalagem</t>
  </si>
  <si>
    <t>Moto boy</t>
  </si>
  <si>
    <t>Katiaria</t>
  </si>
  <si>
    <t>Valor por Sanduiche</t>
  </si>
  <si>
    <t>Valor Insumos</t>
  </si>
  <si>
    <t>A receber por sanduiche</t>
  </si>
  <si>
    <t>Guardanapo</t>
  </si>
  <si>
    <t>Caixa Pizza</t>
  </si>
  <si>
    <t>Saco SOS</t>
  </si>
  <si>
    <t>KIT PAPEL</t>
  </si>
  <si>
    <t>Papel Filme</t>
  </si>
  <si>
    <t>INOVEN</t>
  </si>
  <si>
    <t>Caixa Pizza 25 x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</si>
</sst>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R$-416]#,##0.00_);[Red]\([$R$-416]#,##0.00\)"/>
    <numFmt numFmtId="165" formatCode="_-&quot;R$ &quot;* #,##0.00_-;&quot;-R$ &quot;* #,##0.00_-;_-&quot;R$ &quot;* \-??_-;_-@_-"/>
    <numFmt numFmtId="166" formatCode="[$R$-416]#,##0.0000_);[Red]\([$R$-416]#,##0.0000\)"/>
    <numFmt numFmtId="167" formatCode="[$R$-416]\ #,##0.00;[Red][$R$-416]\ #,##0.00"/>
    <numFmt numFmtId="168" formatCode="[$R$-416]#,##0.00000_);[Red]\([$R$-416]#,##0.00000\)"/>
    <numFmt numFmtId="169" formatCode="0.0%"/>
    <numFmt numFmtId="170" formatCode="&quot;R$ &quot;#,##0.00"/>
  </numFmts>
  <fonts count="9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charset val="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rgb="FF8497B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  <fill>
      <patternFill patternType="solid">
        <fgColor rgb="FFD9D9D9"/>
        <bgColor rgb="FFBDD7EE"/>
      </patternFill>
    </fill>
    <fill>
      <patternFill patternType="solid">
        <fgColor rgb="FF5B9BD5"/>
        <bgColor rgb="FF8497B0"/>
      </patternFill>
    </fill>
    <fill>
      <patternFill patternType="solid">
        <fgColor rgb="FFBDD7EE"/>
        <bgColor rgb="FFD9D9D9"/>
      </patternFill>
    </fill>
    <fill>
      <patternFill patternType="solid">
        <fgColor theme="0"/>
        <bgColor rgb="FF9C000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top"/>
    </xf>
    <xf numFmtId="165" fontId="8" fillId="0" borderId="0" applyBorder="0" applyProtection="0">
      <alignment vertical="top"/>
    </xf>
    <xf numFmtId="9" fontId="8" fillId="0" borderId="0" applyBorder="0" applyProtection="0">
      <alignment vertical="top"/>
    </xf>
  </cellStyleXfs>
  <cellXfs count="70">
    <xf numFmtId="0" fontId="0" fillId="0" borderId="0" xfId="0">
      <alignment vertical="top"/>
    </xf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horizontal="center" vertical="top"/>
    </xf>
    <xf numFmtId="0" fontId="0" fillId="0" borderId="0" xfId="0" applyBorder="1" applyAlignment="1" applyProtection="1">
      <alignment vertical="top"/>
    </xf>
    <xf numFmtId="0" fontId="0" fillId="0" borderId="1" xfId="0" applyFont="1" applyBorder="1" applyAlignment="1" applyProtection="1">
      <alignment vertical="top"/>
    </xf>
    <xf numFmtId="164" fontId="0" fillId="6" borderId="1" xfId="0" applyNumberFormat="1" applyFill="1" applyBorder="1" applyAlignment="1" applyProtection="1">
      <alignment vertical="top"/>
    </xf>
    <xf numFmtId="164" fontId="0" fillId="0" borderId="0" xfId="0" applyNumberFormat="1" applyAlignment="1" applyProtection="1">
      <alignment vertical="top"/>
    </xf>
    <xf numFmtId="164" fontId="0" fillId="0" borderId="1" xfId="0" applyNumberFormat="1" applyBorder="1" applyAlignment="1" applyProtection="1">
      <alignment vertical="top"/>
    </xf>
    <xf numFmtId="0" fontId="0" fillId="0" borderId="2" xfId="0" applyFont="1" applyBorder="1" applyAlignment="1" applyProtection="1">
      <alignment vertical="top"/>
    </xf>
    <xf numFmtId="164" fontId="0" fillId="0" borderId="2" xfId="0" applyNumberFormat="1" applyBorder="1" applyAlignment="1" applyProtection="1">
      <alignment vertical="top"/>
    </xf>
    <xf numFmtId="165" fontId="0" fillId="0" borderId="1" xfId="1" applyFont="1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2" fillId="8" borderId="1" xfId="0" applyFont="1" applyFill="1" applyBorder="1" applyAlignment="1" applyProtection="1">
      <alignment vertical="top"/>
    </xf>
    <xf numFmtId="166" fontId="0" fillId="0" borderId="2" xfId="0" applyNumberFormat="1" applyBorder="1" applyAlignment="1" applyProtection="1">
      <alignment vertical="top"/>
    </xf>
    <xf numFmtId="0" fontId="0" fillId="8" borderId="1" xfId="0" applyFont="1" applyFill="1" applyBorder="1" applyAlignment="1" applyProtection="1">
      <alignment vertical="top"/>
    </xf>
    <xf numFmtId="0" fontId="0" fillId="6" borderId="1" xfId="0" applyFill="1" applyBorder="1" applyAlignment="1" applyProtection="1">
      <alignment vertical="top"/>
    </xf>
    <xf numFmtId="167" fontId="0" fillId="0" borderId="1" xfId="0" applyNumberFormat="1" applyBorder="1" applyAlignment="1" applyProtection="1">
      <alignment vertical="top"/>
    </xf>
    <xf numFmtId="9" fontId="0" fillId="0" borderId="1" xfId="2" applyFont="1" applyBorder="1" applyAlignment="1" applyProtection="1">
      <alignment vertical="top"/>
    </xf>
    <xf numFmtId="168" fontId="0" fillId="0" borderId="2" xfId="0" applyNumberFormat="1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169" fontId="0" fillId="0" borderId="1" xfId="2" applyNumberFormat="1" applyFont="1" applyBorder="1" applyAlignment="1" applyProtection="1">
      <alignment vertical="top"/>
    </xf>
    <xf numFmtId="167" fontId="0" fillId="0" borderId="0" xfId="0" applyNumberFormat="1" applyAlignment="1" applyProtection="1">
      <alignment vertical="top"/>
    </xf>
    <xf numFmtId="167" fontId="0" fillId="5" borderId="1" xfId="0" applyNumberFormat="1" applyFont="1" applyFill="1" applyBorder="1" applyAlignment="1" applyProtection="1">
      <alignment vertical="top"/>
    </xf>
    <xf numFmtId="167" fontId="0" fillId="6" borderId="1" xfId="0" applyNumberFormat="1" applyFill="1" applyBorder="1" applyAlignment="1" applyProtection="1">
      <alignment vertical="top"/>
    </xf>
    <xf numFmtId="0" fontId="0" fillId="9" borderId="1" xfId="0" applyFont="1" applyFill="1" applyBorder="1" applyAlignment="1" applyProtection="1">
      <alignment vertical="top"/>
    </xf>
    <xf numFmtId="0" fontId="0" fillId="3" borderId="0" xfId="0" applyFill="1" applyAlignment="1" applyProtection="1">
      <alignment vertical="top"/>
    </xf>
    <xf numFmtId="0" fontId="3" fillId="3" borderId="0" xfId="0" applyFont="1" applyFill="1" applyAlignment="1" applyProtection="1">
      <alignment vertical="top"/>
    </xf>
    <xf numFmtId="0" fontId="4" fillId="3" borderId="3" xfId="0" applyFont="1" applyFill="1" applyBorder="1" applyAlignment="1" applyProtection="1">
      <alignment vertical="top" wrapText="1"/>
    </xf>
    <xf numFmtId="170" fontId="4" fillId="10" borderId="4" xfId="1" applyNumberFormat="1" applyFont="1" applyFill="1" applyBorder="1" applyAlignment="1" applyProtection="1">
      <alignment vertical="top"/>
    </xf>
    <xf numFmtId="9" fontId="5" fillId="10" borderId="4" xfId="2" applyFont="1" applyFill="1" applyBorder="1" applyAlignment="1" applyProtection="1">
      <alignment vertical="top"/>
    </xf>
    <xf numFmtId="165" fontId="0" fillId="3" borderId="0" xfId="1" applyFont="1" applyFill="1" applyBorder="1" applyAlignment="1" applyProtection="1">
      <alignment vertical="top"/>
    </xf>
    <xf numFmtId="0" fontId="4" fillId="3" borderId="5" xfId="0" applyFont="1" applyFill="1" applyBorder="1" applyAlignment="1" applyProtection="1">
      <alignment vertical="top" wrapText="1"/>
    </xf>
    <xf numFmtId="170" fontId="4" fillId="10" borderId="6" xfId="1" applyNumberFormat="1" applyFont="1" applyFill="1" applyBorder="1" applyAlignment="1" applyProtection="1">
      <alignment vertical="top" wrapText="1"/>
    </xf>
    <xf numFmtId="9" fontId="5" fillId="10" borderId="6" xfId="2" applyFont="1" applyFill="1" applyBorder="1" applyAlignment="1" applyProtection="1">
      <alignment vertical="top"/>
    </xf>
    <xf numFmtId="170" fontId="0" fillId="3" borderId="0" xfId="1" applyNumberFormat="1" applyFont="1" applyFill="1" applyBorder="1" applyAlignment="1" applyProtection="1">
      <alignment vertical="top" wrapText="1"/>
    </xf>
    <xf numFmtId="0" fontId="0" fillId="3" borderId="7" xfId="0" applyFill="1" applyBorder="1" applyAlignment="1" applyProtection="1">
      <alignment vertical="top"/>
    </xf>
    <xf numFmtId="0" fontId="6" fillId="11" borderId="8" xfId="0" applyFont="1" applyFill="1" applyBorder="1" applyAlignment="1" applyProtection="1">
      <alignment horizontal="center" vertical="center" wrapText="1"/>
    </xf>
    <xf numFmtId="0" fontId="7" fillId="11" borderId="8" xfId="0" applyFont="1" applyFill="1" applyBorder="1" applyAlignment="1" applyProtection="1">
      <alignment horizontal="center" vertical="center" wrapText="1"/>
    </xf>
    <xf numFmtId="0" fontId="0" fillId="12" borderId="1" xfId="0" applyFill="1" applyBorder="1" applyAlignment="1" applyProtection="1">
      <alignment vertical="top"/>
    </xf>
    <xf numFmtId="165" fontId="0" fillId="10" borderId="1" xfId="1" applyFont="1" applyFill="1" applyBorder="1" applyAlignment="1" applyProtection="1">
      <alignment vertical="top"/>
    </xf>
    <xf numFmtId="0" fontId="0" fillId="10" borderId="1" xfId="0" applyFill="1" applyBorder="1" applyAlignment="1" applyProtection="1">
      <alignment vertical="top"/>
    </xf>
    <xf numFmtId="170" fontId="0" fillId="3" borderId="1" xfId="0" applyNumberFormat="1" applyFill="1" applyBorder="1" applyAlignment="1" applyProtection="1">
      <alignment vertical="top"/>
    </xf>
    <xf numFmtId="10" fontId="0" fillId="3" borderId="1" xfId="0" applyNumberFormat="1" applyFill="1" applyBorder="1" applyAlignment="1" applyProtection="1">
      <alignment vertical="top"/>
    </xf>
    <xf numFmtId="165" fontId="0" fillId="3" borderId="1" xfId="1" applyFont="1" applyFill="1" applyBorder="1" applyAlignment="1" applyProtection="1">
      <alignment vertical="top"/>
    </xf>
    <xf numFmtId="169" fontId="0" fillId="3" borderId="1" xfId="2" applyNumberFormat="1" applyFont="1" applyFill="1" applyBorder="1" applyAlignment="1" applyProtection="1">
      <alignment vertical="top"/>
    </xf>
    <xf numFmtId="9" fontId="0" fillId="3" borderId="1" xfId="2" applyFont="1" applyFill="1" applyBorder="1" applyAlignment="1" applyProtection="1">
      <alignment vertical="top"/>
    </xf>
    <xf numFmtId="0" fontId="0" fillId="12" borderId="9" xfId="0" applyFill="1" applyBorder="1" applyAlignment="1" applyProtection="1">
      <alignment vertical="top"/>
    </xf>
    <xf numFmtId="165" fontId="0" fillId="10" borderId="9" xfId="1" applyFont="1" applyFill="1" applyBorder="1" applyAlignment="1" applyProtection="1">
      <alignment vertical="top"/>
    </xf>
    <xf numFmtId="0" fontId="0" fillId="10" borderId="9" xfId="0" applyFill="1" applyBorder="1" applyAlignment="1" applyProtection="1">
      <alignment vertical="top"/>
    </xf>
    <xf numFmtId="170" fontId="0" fillId="3" borderId="9" xfId="0" applyNumberFormat="1" applyFill="1" applyBorder="1" applyAlignment="1" applyProtection="1">
      <alignment vertical="top"/>
    </xf>
    <xf numFmtId="10" fontId="0" fillId="3" borderId="9" xfId="0" applyNumberFormat="1" applyFill="1" applyBorder="1" applyAlignment="1" applyProtection="1">
      <alignment vertical="top"/>
    </xf>
    <xf numFmtId="165" fontId="0" fillId="3" borderId="9" xfId="1" applyFont="1" applyFill="1" applyBorder="1" applyAlignment="1" applyProtection="1">
      <alignment vertical="top"/>
    </xf>
    <xf numFmtId="169" fontId="0" fillId="3" borderId="9" xfId="2" applyNumberFormat="1" applyFont="1" applyFill="1" applyBorder="1" applyAlignment="1" applyProtection="1">
      <alignment vertical="top"/>
    </xf>
    <xf numFmtId="9" fontId="0" fillId="3" borderId="9" xfId="2" applyFont="1" applyFill="1" applyBorder="1" applyAlignment="1" applyProtection="1">
      <alignment vertical="top"/>
    </xf>
    <xf numFmtId="164" fontId="0" fillId="13" borderId="2" xfId="0" applyNumberFormat="1" applyFill="1" applyBorder="1" applyAlignment="1" applyProtection="1">
      <alignment vertical="top"/>
    </xf>
    <xf numFmtId="164" fontId="0" fillId="13" borderId="1" xfId="0" applyNumberFormat="1" applyFill="1" applyBorder="1" applyAlignment="1" applyProtection="1">
      <alignment vertical="top"/>
    </xf>
    <xf numFmtId="0" fontId="0" fillId="0" borderId="1" xfId="0" applyBorder="1">
      <alignment vertical="top"/>
    </xf>
    <xf numFmtId="0" fontId="0" fillId="0" borderId="0" xfId="0" applyFont="1" applyBorder="1" applyAlignment="1" applyProtection="1">
      <alignment vertical="top"/>
    </xf>
    <xf numFmtId="164" fontId="0" fillId="0" borderId="0" xfId="0" applyNumberFormat="1" applyBorder="1" applyAlignment="1" applyProtection="1">
      <alignment vertical="top"/>
    </xf>
    <xf numFmtId="9" fontId="0" fillId="0" borderId="1" xfId="0" applyNumberFormat="1" applyBorder="1" applyAlignment="1" applyProtection="1">
      <alignment vertical="top"/>
    </xf>
    <xf numFmtId="167" fontId="0" fillId="0" borderId="0" xfId="0" applyNumberFormat="1">
      <alignment vertical="top"/>
    </xf>
    <xf numFmtId="9" fontId="0" fillId="0" borderId="0" xfId="0" applyNumberFormat="1" applyBorder="1" applyAlignment="1" applyProtection="1">
      <alignment vertical="top"/>
    </xf>
    <xf numFmtId="0" fontId="0" fillId="5" borderId="1" xfId="0" applyFont="1" applyFill="1" applyBorder="1" applyAlignment="1" applyProtection="1">
      <alignment horizontal="center" vertical="top"/>
    </xf>
    <xf numFmtId="0" fontId="1" fillId="7" borderId="1" xfId="0" applyFont="1" applyFill="1" applyBorder="1" applyAlignment="1" applyProtection="1">
      <alignment horizontal="center" vertical="top"/>
    </xf>
    <xf numFmtId="0" fontId="0" fillId="6" borderId="1" xfId="0" applyFont="1" applyFill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2" borderId="1" xfId="0" applyFont="1" applyFill="1" applyBorder="1" applyAlignment="1" applyProtection="1">
      <alignment horizontal="center" vertical="top"/>
    </xf>
    <xf numFmtId="0" fontId="0" fillId="4" borderId="1" xfId="0" applyFont="1" applyFill="1" applyBorder="1" applyAlignment="1" applyProtection="1">
      <alignment horizontal="center" vertical="top"/>
    </xf>
    <xf numFmtId="0" fontId="0" fillId="0" borderId="10" xfId="0" applyFont="1" applyBorder="1" applyAlignment="1" applyProtection="1">
      <alignment vertical="top"/>
    </xf>
    <xf numFmtId="164" fontId="0" fillId="0" borderId="10" xfId="0" applyNumberFormat="1" applyBorder="1" applyAlignment="1" applyProtection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D9D9D9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A4" zoomScale="150" zoomScaleNormal="150" workbookViewId="0">
      <selection activeCell="F9" sqref="F9"/>
    </sheetView>
  </sheetViews>
  <sheetFormatPr defaultColWidth="9.140625" defaultRowHeight="15" x14ac:dyDescent="0.25"/>
  <cols>
    <col min="1" max="1" width="29.28515625" style="1" customWidth="1"/>
    <col min="2" max="2" width="14.7109375" style="1" customWidth="1"/>
    <col min="4" max="4" width="16.42578125" style="1" customWidth="1"/>
    <col min="5" max="5" width="30.42578125" style="1" customWidth="1"/>
    <col min="6" max="6" width="11.5703125" style="1" customWidth="1"/>
    <col min="8" max="8" width="21.42578125" style="1" customWidth="1"/>
    <col min="9" max="9" width="11.5703125" style="1" customWidth="1"/>
    <col min="10" max="10" width="12.85546875" style="1" customWidth="1"/>
    <col min="11" max="11" width="36" style="1" customWidth="1"/>
    <col min="12" max="12" width="13.7109375" style="1" customWidth="1"/>
  </cols>
  <sheetData>
    <row r="3" spans="1:12" x14ac:dyDescent="0.25">
      <c r="E3" s="65"/>
      <c r="F3" s="65"/>
      <c r="I3" s="65"/>
      <c r="J3" s="65"/>
    </row>
    <row r="7" spans="1:12" x14ac:dyDescent="0.25">
      <c r="E7" s="66" t="s">
        <v>0</v>
      </c>
      <c r="F7" s="66"/>
      <c r="G7" s="2"/>
      <c r="H7" s="67" t="s">
        <v>1</v>
      </c>
      <c r="I7" s="67"/>
      <c r="J7" s="3"/>
      <c r="K7" s="62" t="s">
        <v>2</v>
      </c>
      <c r="L7" s="62"/>
    </row>
    <row r="8" spans="1:12" x14ac:dyDescent="0.25">
      <c r="E8" s="4" t="s">
        <v>55</v>
      </c>
      <c r="F8" s="5">
        <v>2.59</v>
      </c>
      <c r="G8" s="6"/>
      <c r="H8" s="4"/>
      <c r="I8" s="7"/>
      <c r="K8" s="8" t="s">
        <v>3</v>
      </c>
      <c r="L8" s="54">
        <v>76</v>
      </c>
    </row>
    <row r="9" spans="1:12" x14ac:dyDescent="0.25">
      <c r="E9" s="8" t="s">
        <v>4</v>
      </c>
      <c r="F9" s="9">
        <v>0.12</v>
      </c>
      <c r="G9" s="6"/>
      <c r="H9" s="8"/>
      <c r="I9" s="7"/>
      <c r="K9" s="8" t="s">
        <v>5</v>
      </c>
      <c r="L9" s="54">
        <v>1000</v>
      </c>
    </row>
    <row r="10" spans="1:12" x14ac:dyDescent="0.25">
      <c r="E10" s="8"/>
      <c r="F10" s="9"/>
      <c r="G10" s="6"/>
      <c r="H10" s="8"/>
      <c r="I10" s="9"/>
      <c r="K10" s="4" t="s">
        <v>6</v>
      </c>
      <c r="L10" s="55">
        <v>1500</v>
      </c>
    </row>
    <row r="11" spans="1:12" ht="18.75" x14ac:dyDescent="0.25">
      <c r="A11" s="63" t="s">
        <v>7</v>
      </c>
      <c r="B11" s="63"/>
      <c r="E11" s="4"/>
      <c r="F11" s="10"/>
      <c r="G11" s="6"/>
      <c r="H11" s="11"/>
      <c r="I11" s="9"/>
      <c r="K11" s="4" t="s">
        <v>8</v>
      </c>
      <c r="L11" s="7">
        <v>1500</v>
      </c>
    </row>
    <row r="12" spans="1:12" x14ac:dyDescent="0.25">
      <c r="A12" s="12" t="s">
        <v>56</v>
      </c>
      <c r="B12" s="5">
        <v>3.9</v>
      </c>
      <c r="E12" s="8"/>
      <c r="F12" s="9"/>
      <c r="G12" s="6"/>
      <c r="H12" s="8"/>
      <c r="I12" s="13"/>
      <c r="K12" s="4" t="s">
        <v>52</v>
      </c>
      <c r="L12" s="7">
        <v>76</v>
      </c>
    </row>
    <row r="13" spans="1:12" x14ac:dyDescent="0.25">
      <c r="A13" s="14" t="s">
        <v>9</v>
      </c>
      <c r="B13" s="15">
        <v>1</v>
      </c>
      <c r="E13" s="4"/>
      <c r="F13" s="4"/>
      <c r="G13" s="6"/>
      <c r="H13" s="8"/>
      <c r="I13" s="9"/>
      <c r="K13" s="4" t="s">
        <v>53</v>
      </c>
      <c r="L13" s="7">
        <v>60</v>
      </c>
    </row>
    <row r="14" spans="1:12" x14ac:dyDescent="0.25">
      <c r="A14" s="14" t="s">
        <v>10</v>
      </c>
      <c r="B14" s="16">
        <f>B13*B12</f>
        <v>3.9</v>
      </c>
      <c r="E14" s="8"/>
      <c r="F14" s="9"/>
      <c r="G14" s="6"/>
      <c r="H14" s="8"/>
      <c r="I14" s="13"/>
      <c r="K14" s="8" t="s">
        <v>54</v>
      </c>
      <c r="L14" s="7">
        <v>130</v>
      </c>
    </row>
    <row r="15" spans="1:12" x14ac:dyDescent="0.25">
      <c r="A15" s="14" t="s">
        <v>11</v>
      </c>
      <c r="B15" s="17">
        <f>IFERROR(B14/L29,0)</f>
        <v>2.1666666666666666E-4</v>
      </c>
      <c r="E15" s="4"/>
      <c r="F15" s="9"/>
      <c r="G15" s="6"/>
      <c r="H15" s="4"/>
      <c r="I15" s="18"/>
      <c r="K15" s="8"/>
      <c r="L15" s="7"/>
    </row>
    <row r="16" spans="1:12" x14ac:dyDescent="0.25">
      <c r="A16" s="14" t="s">
        <v>12</v>
      </c>
      <c r="B16" s="16">
        <f>F23+L25</f>
        <v>3.7494366666666665</v>
      </c>
      <c r="E16" s="8"/>
      <c r="F16" s="9"/>
      <c r="G16" s="6"/>
      <c r="H16" s="8"/>
      <c r="I16" s="9"/>
      <c r="K16" s="8"/>
      <c r="L16" s="7"/>
    </row>
    <row r="17" spans="1:15" x14ac:dyDescent="0.25">
      <c r="A17" s="14" t="s">
        <v>13</v>
      </c>
      <c r="B17" s="16">
        <f>B12-F23</f>
        <v>1.0913300000000001</v>
      </c>
      <c r="E17" s="8"/>
      <c r="F17" s="9"/>
      <c r="G17" s="6"/>
      <c r="H17" s="8"/>
      <c r="I17" s="9"/>
      <c r="K17" s="8"/>
      <c r="L17" s="7"/>
    </row>
    <row r="18" spans="1:15" x14ac:dyDescent="0.25">
      <c r="A18" s="14" t="s">
        <v>14</v>
      </c>
      <c r="B18" s="19">
        <f>IFERROR(B19/B17,0)</f>
        <v>0.86203684189627938</v>
      </c>
      <c r="E18" s="8"/>
      <c r="F18" s="9"/>
      <c r="G18" s="6"/>
      <c r="H18" s="8"/>
      <c r="I18" s="9"/>
      <c r="K18" s="8"/>
      <c r="L18" s="7"/>
    </row>
    <row r="19" spans="1:15" x14ac:dyDescent="0.25">
      <c r="A19" s="14" t="s">
        <v>15</v>
      </c>
      <c r="B19" s="16">
        <f>L23*B15</f>
        <v>0.94076666666666664</v>
      </c>
      <c r="E19" s="8"/>
      <c r="F19" s="9"/>
      <c r="G19" s="6"/>
      <c r="H19" s="8"/>
      <c r="I19" s="9"/>
      <c r="K19" s="8"/>
      <c r="L19" s="7"/>
    </row>
    <row r="20" spans="1:15" x14ac:dyDescent="0.25">
      <c r="A20" s="14" t="s">
        <v>16</v>
      </c>
      <c r="B20" s="16">
        <f>B12-B16</f>
        <v>0.15056333333333338</v>
      </c>
      <c r="E20" s="8"/>
      <c r="F20" s="9"/>
      <c r="G20" s="6"/>
      <c r="H20" s="8"/>
      <c r="I20" s="9"/>
      <c r="K20" s="8"/>
      <c r="L20" s="7"/>
    </row>
    <row r="21" spans="1:15" x14ac:dyDescent="0.25">
      <c r="A21" s="14" t="s">
        <v>17</v>
      </c>
      <c r="B21" s="17">
        <f>IFERROR(B20/B16,0)</f>
        <v>4.0156254584021972E-2</v>
      </c>
      <c r="E21" s="8"/>
      <c r="F21" s="9"/>
      <c r="G21" s="6"/>
      <c r="H21" s="8"/>
      <c r="I21" s="9"/>
      <c r="K21" s="8"/>
      <c r="L21" s="7"/>
    </row>
    <row r="22" spans="1:15" x14ac:dyDescent="0.25">
      <c r="A22" s="14" t="s">
        <v>18</v>
      </c>
      <c r="B22" s="17">
        <f>IFERROR(F23/B12,0)</f>
        <v>0.72017179487179483</v>
      </c>
      <c r="E22" s="8"/>
      <c r="F22" s="9"/>
      <c r="G22" s="6"/>
      <c r="H22" s="8"/>
      <c r="I22" s="9"/>
      <c r="K22" s="8"/>
      <c r="L22" s="7"/>
    </row>
    <row r="23" spans="1:15" x14ac:dyDescent="0.25">
      <c r="E23" s="4" t="s">
        <v>19</v>
      </c>
      <c r="F23" s="7">
        <f>SUM(F8:F22)+SUM(F27:F29)</f>
        <v>2.8086699999999998</v>
      </c>
      <c r="G23" s="6"/>
      <c r="H23" s="4" t="s">
        <v>19</v>
      </c>
      <c r="I23" s="7"/>
      <c r="J23" s="3"/>
      <c r="K23" s="4" t="s">
        <v>19</v>
      </c>
      <c r="L23" s="7">
        <f>SUM(L6:L22)</f>
        <v>4342</v>
      </c>
    </row>
    <row r="24" spans="1:15" x14ac:dyDescent="0.25">
      <c r="E24" s="4"/>
      <c r="F24" s="4"/>
      <c r="H24" s="4"/>
      <c r="I24" s="7"/>
      <c r="J24" s="3"/>
      <c r="K24" s="4"/>
      <c r="L24" s="11"/>
    </row>
    <row r="25" spans="1:15" x14ac:dyDescent="0.25">
      <c r="E25" s="4" t="s">
        <v>20</v>
      </c>
      <c r="F25" s="17">
        <f>IFERROR(F23/B12,0)</f>
        <v>0.72017179487179483</v>
      </c>
      <c r="G25" s="6"/>
      <c r="H25" s="4"/>
      <c r="I25" s="7"/>
      <c r="J25" s="3"/>
      <c r="K25" s="4" t="s">
        <v>21</v>
      </c>
      <c r="L25" s="7">
        <f>IFERROR((L23*B15)/B13,0)</f>
        <v>0.94076666666666664</v>
      </c>
    </row>
    <row r="27" spans="1:15" x14ac:dyDescent="0.25">
      <c r="D27" s="4" t="s">
        <v>22</v>
      </c>
      <c r="E27" s="20">
        <v>2.53E-2</v>
      </c>
      <c r="F27" s="16">
        <f>B12*E27</f>
        <v>9.8669999999999994E-2</v>
      </c>
      <c r="O27" s="21"/>
    </row>
    <row r="28" spans="1:15" x14ac:dyDescent="0.25">
      <c r="D28" s="4" t="s">
        <v>23</v>
      </c>
      <c r="E28" s="20">
        <v>0</v>
      </c>
      <c r="F28" s="16">
        <f>B12*E28</f>
        <v>0</v>
      </c>
    </row>
    <row r="29" spans="1:15" x14ac:dyDescent="0.25">
      <c r="D29" s="4" t="s">
        <v>24</v>
      </c>
      <c r="E29" s="20">
        <v>0</v>
      </c>
      <c r="F29" s="16">
        <f>B12*E29</f>
        <v>0</v>
      </c>
      <c r="K29" s="22" t="s">
        <v>25</v>
      </c>
      <c r="L29" s="23">
        <v>18000</v>
      </c>
      <c r="O29" s="21"/>
    </row>
    <row r="30" spans="1:15" x14ac:dyDescent="0.25">
      <c r="H30" s="64" t="s">
        <v>26</v>
      </c>
      <c r="I30" s="64"/>
    </row>
    <row r="31" spans="1:15" x14ac:dyDescent="0.25">
      <c r="E31" s="1">
        <f>(1.9+3.16)/2</f>
        <v>2.5300000000000002</v>
      </c>
      <c r="H31" s="4" t="s">
        <v>2</v>
      </c>
      <c r="I31" s="7">
        <f>L25</f>
        <v>0.94076666666666664</v>
      </c>
      <c r="K31" s="24" t="s">
        <v>27</v>
      </c>
      <c r="L31" s="17">
        <f>IFERROR(L23/L29,0)</f>
        <v>0.24122222222222223</v>
      </c>
    </row>
    <row r="32" spans="1:15" x14ac:dyDescent="0.25">
      <c r="H32" s="4" t="s">
        <v>0</v>
      </c>
      <c r="I32" s="7">
        <f>F23</f>
        <v>2.8086699999999998</v>
      </c>
    </row>
    <row r="33" spans="8:9" x14ac:dyDescent="0.25">
      <c r="H33" s="4" t="s">
        <v>28</v>
      </c>
      <c r="I33" s="7">
        <f>SUM(I31+I32)*10%</f>
        <v>0.37494366666666668</v>
      </c>
    </row>
    <row r="34" spans="8:9" x14ac:dyDescent="0.25">
      <c r="H34" s="4" t="s">
        <v>29</v>
      </c>
      <c r="I34" s="7">
        <f>SUM(I31:I33)</f>
        <v>4.1243803333333329</v>
      </c>
    </row>
  </sheetData>
  <mergeCells count="7">
    <mergeCell ref="K7:L7"/>
    <mergeCell ref="A11:B11"/>
    <mergeCell ref="H30:I30"/>
    <mergeCell ref="E3:F3"/>
    <mergeCell ref="I3:J3"/>
    <mergeCell ref="E7:F7"/>
    <mergeCell ref="H7:I7"/>
  </mergeCells>
  <conditionalFormatting sqref="L31">
    <cfRule type="cellIs" dxfId="44" priority="2" operator="lessThan">
      <formula>0.3</formula>
    </cfRule>
    <cfRule type="cellIs" dxfId="43" priority="3" operator="lessThan">
      <formula>0.3</formula>
    </cfRule>
    <cfRule type="cellIs" dxfId="42" priority="4" operator="lessThan">
      <formula>0.29</formula>
    </cfRule>
    <cfRule type="cellIs" dxfId="41" priority="5" operator="lessThan">
      <formula>0.3</formula>
    </cfRule>
    <cfRule type="cellIs" dxfId="40" priority="6" operator="greaterThan">
      <formula>0.4</formula>
    </cfRule>
    <cfRule type="cellIs" dxfId="39" priority="7" operator="between">
      <formula>0.3</formula>
      <formula>0.4</formula>
    </cfRule>
    <cfRule type="cellIs" dxfId="38" priority="8" operator="lessThan">
      <formula>0.35</formula>
    </cfRule>
    <cfRule type="cellIs" dxfId="37" priority="9" operator="greaterThan">
      <formula>0.35</formula>
    </cfRule>
    <cfRule type="cellIs" dxfId="36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A7" zoomScale="150" zoomScaleNormal="150" workbookViewId="0">
      <selection activeCell="F9" sqref="F9"/>
    </sheetView>
  </sheetViews>
  <sheetFormatPr defaultColWidth="9.140625" defaultRowHeight="15" x14ac:dyDescent="0.25"/>
  <cols>
    <col min="1" max="1" width="29.28515625" style="1" customWidth="1"/>
    <col min="2" max="2" width="14.7109375" style="1" customWidth="1"/>
    <col min="4" max="4" width="16.42578125" style="1" customWidth="1"/>
    <col min="5" max="5" width="30.42578125" style="1" customWidth="1"/>
    <col min="6" max="6" width="11.5703125" style="1" customWidth="1"/>
    <col min="8" max="8" width="21.42578125" style="1" customWidth="1"/>
    <col min="9" max="9" width="11.5703125" style="1" customWidth="1"/>
    <col min="10" max="10" width="12.85546875" style="1" customWidth="1"/>
    <col min="11" max="11" width="36" style="1" customWidth="1"/>
    <col min="12" max="12" width="13.7109375" style="1" customWidth="1"/>
  </cols>
  <sheetData>
    <row r="3" spans="1:12" x14ac:dyDescent="0.25">
      <c r="E3" s="65"/>
      <c r="F3" s="65"/>
      <c r="I3" s="65"/>
      <c r="J3" s="65"/>
    </row>
    <row r="7" spans="1:12" x14ac:dyDescent="0.25">
      <c r="E7" s="66" t="s">
        <v>0</v>
      </c>
      <c r="F7" s="66"/>
      <c r="G7" s="2"/>
      <c r="H7" s="67" t="s">
        <v>1</v>
      </c>
      <c r="I7" s="67"/>
      <c r="J7" s="3"/>
      <c r="K7" s="62" t="s">
        <v>2</v>
      </c>
      <c r="L7" s="62"/>
    </row>
    <row r="8" spans="1:12" x14ac:dyDescent="0.25">
      <c r="E8" s="4" t="s">
        <v>55</v>
      </c>
      <c r="F8" s="5">
        <v>8.9</v>
      </c>
      <c r="G8" s="6"/>
      <c r="H8" s="4"/>
      <c r="I8" s="7"/>
      <c r="K8" s="8" t="s">
        <v>3</v>
      </c>
      <c r="L8" s="54">
        <v>76</v>
      </c>
    </row>
    <row r="9" spans="1:12" x14ac:dyDescent="0.25">
      <c r="E9" s="8" t="s">
        <v>4</v>
      </c>
      <c r="F9" s="9">
        <v>0.12</v>
      </c>
      <c r="G9" s="6"/>
      <c r="H9" s="8"/>
      <c r="I9" s="7"/>
      <c r="K9" s="8" t="s">
        <v>5</v>
      </c>
      <c r="L9" s="54">
        <v>1000</v>
      </c>
    </row>
    <row r="10" spans="1:12" x14ac:dyDescent="0.25">
      <c r="E10" s="8"/>
      <c r="F10" s="9"/>
      <c r="G10" s="6"/>
      <c r="H10" s="8"/>
      <c r="I10" s="9"/>
      <c r="K10" s="4" t="s">
        <v>6</v>
      </c>
      <c r="L10" s="55">
        <v>1500</v>
      </c>
    </row>
    <row r="11" spans="1:12" ht="18.75" x14ac:dyDescent="0.25">
      <c r="A11" s="63" t="s">
        <v>7</v>
      </c>
      <c r="B11" s="63"/>
      <c r="E11" s="4"/>
      <c r="F11" s="10"/>
      <c r="G11" s="6"/>
      <c r="H11" s="11"/>
      <c r="I11" s="9"/>
      <c r="K11" s="4" t="s">
        <v>8</v>
      </c>
      <c r="L11" s="7">
        <v>1500</v>
      </c>
    </row>
    <row r="12" spans="1:12" x14ac:dyDescent="0.25">
      <c r="A12" s="12" t="s">
        <v>57</v>
      </c>
      <c r="B12" s="5">
        <v>14</v>
      </c>
      <c r="E12" s="8"/>
      <c r="F12" s="9"/>
      <c r="G12" s="6"/>
      <c r="H12" s="8"/>
      <c r="I12" s="13"/>
      <c r="K12" s="4" t="s">
        <v>52</v>
      </c>
      <c r="L12" s="7">
        <v>76</v>
      </c>
    </row>
    <row r="13" spans="1:12" x14ac:dyDescent="0.25">
      <c r="A13" s="14" t="s">
        <v>9</v>
      </c>
      <c r="B13" s="15">
        <v>1</v>
      </c>
      <c r="E13" s="4"/>
      <c r="F13" s="4"/>
      <c r="G13" s="6"/>
      <c r="H13" s="8"/>
      <c r="I13" s="9"/>
      <c r="K13" s="4" t="s">
        <v>53</v>
      </c>
      <c r="L13" s="7">
        <v>60</v>
      </c>
    </row>
    <row r="14" spans="1:12" x14ac:dyDescent="0.25">
      <c r="A14" s="14" t="s">
        <v>10</v>
      </c>
      <c r="B14" s="16">
        <f>B13*B12</f>
        <v>14</v>
      </c>
      <c r="E14" s="8"/>
      <c r="F14" s="9"/>
      <c r="G14" s="6"/>
      <c r="H14" s="8"/>
      <c r="I14" s="13"/>
      <c r="K14" s="8" t="s">
        <v>54</v>
      </c>
      <c r="L14" s="7">
        <v>130</v>
      </c>
    </row>
    <row r="15" spans="1:12" x14ac:dyDescent="0.25">
      <c r="A15" s="14" t="s">
        <v>11</v>
      </c>
      <c r="B15" s="17">
        <f>IFERROR(B14/L29,0)</f>
        <v>7.7777777777777773E-4</v>
      </c>
      <c r="E15" s="4"/>
      <c r="F15" s="9"/>
      <c r="G15" s="6"/>
      <c r="H15" s="4"/>
      <c r="I15" s="18"/>
      <c r="K15" s="8"/>
      <c r="L15" s="7"/>
    </row>
    <row r="16" spans="1:12" x14ac:dyDescent="0.25">
      <c r="A16" s="14" t="s">
        <v>12</v>
      </c>
      <c r="B16" s="16">
        <f>F23+L25</f>
        <v>12.751311111111111</v>
      </c>
      <c r="E16" s="8"/>
      <c r="F16" s="9"/>
      <c r="G16" s="6"/>
      <c r="H16" s="8"/>
      <c r="I16" s="9"/>
      <c r="K16" s="8"/>
      <c r="L16" s="7"/>
    </row>
    <row r="17" spans="1:15" x14ac:dyDescent="0.25">
      <c r="A17" s="14" t="s">
        <v>13</v>
      </c>
      <c r="B17" s="16">
        <f>B12-F23</f>
        <v>4.6257999999999999</v>
      </c>
      <c r="E17" s="8"/>
      <c r="F17" s="9"/>
      <c r="G17" s="6"/>
      <c r="H17" s="8"/>
      <c r="I17" s="9"/>
      <c r="K17" s="8"/>
      <c r="L17" s="7"/>
    </row>
    <row r="18" spans="1:15" x14ac:dyDescent="0.25">
      <c r="A18" s="14" t="s">
        <v>14</v>
      </c>
      <c r="B18" s="19">
        <f>IFERROR(B19/B17,0)</f>
        <v>0.73005990555387412</v>
      </c>
      <c r="E18" s="8"/>
      <c r="F18" s="9"/>
      <c r="G18" s="6"/>
      <c r="H18" s="8"/>
      <c r="I18" s="9"/>
      <c r="K18" s="8"/>
      <c r="L18" s="7"/>
    </row>
    <row r="19" spans="1:15" x14ac:dyDescent="0.25">
      <c r="A19" s="14" t="s">
        <v>15</v>
      </c>
      <c r="B19" s="16">
        <f>L23*B15</f>
        <v>3.3771111111111107</v>
      </c>
      <c r="E19" s="8"/>
      <c r="F19" s="9"/>
      <c r="G19" s="6"/>
      <c r="H19" s="8"/>
      <c r="I19" s="9"/>
      <c r="K19" s="8"/>
      <c r="L19" s="7"/>
    </row>
    <row r="20" spans="1:15" x14ac:dyDescent="0.25">
      <c r="A20" s="14" t="s">
        <v>16</v>
      </c>
      <c r="B20" s="16">
        <f>B12-B16</f>
        <v>1.2486888888888892</v>
      </c>
      <c r="E20" s="8"/>
      <c r="F20" s="9"/>
      <c r="G20" s="6"/>
      <c r="H20" s="8"/>
      <c r="I20" s="9"/>
      <c r="K20" s="8"/>
      <c r="L20" s="7"/>
    </row>
    <row r="21" spans="1:15" x14ac:dyDescent="0.25">
      <c r="A21" s="14" t="s">
        <v>17</v>
      </c>
      <c r="B21" s="17">
        <f>IFERROR(B20/B16,0)</f>
        <v>9.7926313459705261E-2</v>
      </c>
      <c r="E21" s="8"/>
      <c r="F21" s="9"/>
      <c r="G21" s="6"/>
      <c r="H21" s="8"/>
      <c r="I21" s="9"/>
      <c r="K21" s="8"/>
      <c r="L21" s="7"/>
    </row>
    <row r="22" spans="1:15" x14ac:dyDescent="0.25">
      <c r="A22" s="14" t="s">
        <v>18</v>
      </c>
      <c r="B22" s="17">
        <f>IFERROR(F23/B12,0)</f>
        <v>0.66958571428571434</v>
      </c>
      <c r="E22" s="8"/>
      <c r="F22" s="9"/>
      <c r="G22" s="6"/>
      <c r="H22" s="8"/>
      <c r="I22" s="9"/>
      <c r="K22" s="8"/>
      <c r="L22" s="7"/>
    </row>
    <row r="23" spans="1:15" x14ac:dyDescent="0.25">
      <c r="E23" s="4" t="s">
        <v>19</v>
      </c>
      <c r="F23" s="7">
        <f>SUM(F8:F22)+SUM(F27:F29)</f>
        <v>9.3742000000000001</v>
      </c>
      <c r="G23" s="6"/>
      <c r="H23" s="4" t="s">
        <v>19</v>
      </c>
      <c r="I23" s="7"/>
      <c r="J23" s="3"/>
      <c r="K23" s="4" t="s">
        <v>19</v>
      </c>
      <c r="L23" s="7">
        <f>SUM(L6:L22)</f>
        <v>4342</v>
      </c>
    </row>
    <row r="24" spans="1:15" x14ac:dyDescent="0.25">
      <c r="E24" s="4"/>
      <c r="F24" s="4"/>
      <c r="H24" s="4"/>
      <c r="I24" s="7"/>
      <c r="J24" s="3"/>
      <c r="K24" s="4"/>
      <c r="L24" s="11"/>
    </row>
    <row r="25" spans="1:15" x14ac:dyDescent="0.25">
      <c r="E25" s="4" t="s">
        <v>20</v>
      </c>
      <c r="F25" s="17">
        <f>IFERROR(F23/B12,0)</f>
        <v>0.66958571428571434</v>
      </c>
      <c r="G25" s="6"/>
      <c r="H25" s="4"/>
      <c r="I25" s="7"/>
      <c r="J25" s="3"/>
      <c r="K25" s="4" t="s">
        <v>21</v>
      </c>
      <c r="L25" s="7">
        <f>IFERROR((L23*B15)/B13,0)</f>
        <v>3.3771111111111107</v>
      </c>
    </row>
    <row r="27" spans="1:15" x14ac:dyDescent="0.25">
      <c r="D27" s="4" t="s">
        <v>22</v>
      </c>
      <c r="E27" s="20">
        <v>2.53E-2</v>
      </c>
      <c r="F27" s="16">
        <f>B12*E27</f>
        <v>0.35420000000000001</v>
      </c>
      <c r="O27" s="21"/>
    </row>
    <row r="28" spans="1:15" x14ac:dyDescent="0.25">
      <c r="D28" s="4" t="s">
        <v>23</v>
      </c>
      <c r="E28" s="20">
        <v>0</v>
      </c>
      <c r="F28" s="16">
        <f>B12*E28</f>
        <v>0</v>
      </c>
    </row>
    <row r="29" spans="1:15" x14ac:dyDescent="0.25">
      <c r="D29" s="4" t="s">
        <v>24</v>
      </c>
      <c r="E29" s="20">
        <v>0</v>
      </c>
      <c r="F29" s="16">
        <f>B12*E29</f>
        <v>0</v>
      </c>
      <c r="K29" s="22" t="s">
        <v>25</v>
      </c>
      <c r="L29" s="23">
        <v>18000</v>
      </c>
      <c r="O29" s="21"/>
    </row>
    <row r="30" spans="1:15" x14ac:dyDescent="0.25">
      <c r="H30" s="64" t="s">
        <v>26</v>
      </c>
      <c r="I30" s="64"/>
    </row>
    <row r="31" spans="1:15" x14ac:dyDescent="0.25">
      <c r="E31" s="1">
        <f>(1.9+3.16)/2</f>
        <v>2.5300000000000002</v>
      </c>
      <c r="H31" s="4" t="s">
        <v>2</v>
      </c>
      <c r="I31" s="7">
        <f>L25</f>
        <v>3.3771111111111107</v>
      </c>
      <c r="K31" s="24" t="s">
        <v>27</v>
      </c>
      <c r="L31" s="17">
        <f>IFERROR(L23/L29,0)</f>
        <v>0.24122222222222223</v>
      </c>
    </row>
    <row r="32" spans="1:15" x14ac:dyDescent="0.25">
      <c r="H32" s="4" t="s">
        <v>0</v>
      </c>
      <c r="I32" s="7">
        <f>F23</f>
        <v>9.3742000000000001</v>
      </c>
    </row>
    <row r="33" spans="8:9" x14ac:dyDescent="0.25">
      <c r="H33" s="4" t="s">
        <v>28</v>
      </c>
      <c r="I33" s="7">
        <f>SUM(I31+I32)*10%</f>
        <v>1.2751311111111112</v>
      </c>
    </row>
    <row r="34" spans="8:9" x14ac:dyDescent="0.25">
      <c r="H34" s="4" t="s">
        <v>29</v>
      </c>
      <c r="I34" s="7">
        <f>SUM(I31:I33)</f>
        <v>14.026442222222222</v>
      </c>
    </row>
  </sheetData>
  <mergeCells count="7">
    <mergeCell ref="K7:L7"/>
    <mergeCell ref="A11:B11"/>
    <mergeCell ref="H30:I30"/>
    <mergeCell ref="E3:F3"/>
    <mergeCell ref="I3:J3"/>
    <mergeCell ref="E7:F7"/>
    <mergeCell ref="H7:I7"/>
  </mergeCells>
  <conditionalFormatting sqref="L31">
    <cfRule type="cellIs" dxfId="35" priority="1" operator="lessThan">
      <formula>0.3</formula>
    </cfRule>
    <cfRule type="cellIs" dxfId="34" priority="2" operator="lessThan">
      <formula>0.3</formula>
    </cfRule>
    <cfRule type="cellIs" dxfId="33" priority="3" operator="lessThan">
      <formula>0.29</formula>
    </cfRule>
    <cfRule type="cellIs" dxfId="32" priority="4" operator="lessThan">
      <formula>0.3</formula>
    </cfRule>
    <cfRule type="cellIs" dxfId="31" priority="5" operator="greaterThan">
      <formula>0.4</formula>
    </cfRule>
    <cfRule type="cellIs" dxfId="30" priority="6" operator="between">
      <formula>0.3</formula>
      <formula>0.4</formula>
    </cfRule>
    <cfRule type="cellIs" dxfId="29" priority="7" operator="lessThan">
      <formula>0.35</formula>
    </cfRule>
    <cfRule type="cellIs" dxfId="28" priority="8" operator="greaterThan">
      <formula>0.35</formula>
    </cfRule>
    <cfRule type="cellIs" dxfId="27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A7" zoomScale="150" zoomScaleNormal="150" workbookViewId="0">
      <selection activeCell="B21" sqref="B21"/>
    </sheetView>
  </sheetViews>
  <sheetFormatPr defaultColWidth="9.140625" defaultRowHeight="15" x14ac:dyDescent="0.25"/>
  <cols>
    <col min="1" max="1" width="29.28515625" style="1" customWidth="1"/>
    <col min="2" max="2" width="14.7109375" style="1" customWidth="1"/>
    <col min="4" max="4" width="16.42578125" style="1" customWidth="1"/>
    <col min="5" max="5" width="30.42578125" style="1" customWidth="1"/>
    <col min="6" max="6" width="11.5703125" style="1" customWidth="1"/>
    <col min="8" max="8" width="21.42578125" style="1" customWidth="1"/>
    <col min="9" max="9" width="11.5703125" style="1" customWidth="1"/>
    <col min="10" max="10" width="12.85546875" style="1" customWidth="1"/>
    <col min="11" max="11" width="36" style="1" customWidth="1"/>
    <col min="12" max="12" width="13.7109375" style="1" customWidth="1"/>
  </cols>
  <sheetData>
    <row r="3" spans="1:12" x14ac:dyDescent="0.25">
      <c r="E3" s="65"/>
      <c r="F3" s="65"/>
      <c r="I3" s="65"/>
      <c r="J3" s="65"/>
    </row>
    <row r="7" spans="1:12" x14ac:dyDescent="0.25">
      <c r="E7" s="66" t="s">
        <v>0</v>
      </c>
      <c r="F7" s="66"/>
      <c r="G7" s="2"/>
      <c r="H7" s="67" t="s">
        <v>1</v>
      </c>
      <c r="I7" s="67"/>
      <c r="J7" s="3"/>
      <c r="K7" s="62" t="s">
        <v>2</v>
      </c>
      <c r="L7" s="62"/>
    </row>
    <row r="8" spans="1:12" x14ac:dyDescent="0.25">
      <c r="E8" s="4" t="s">
        <v>55</v>
      </c>
      <c r="F8" s="5">
        <v>5.79</v>
      </c>
      <c r="G8" s="6"/>
      <c r="H8" s="4"/>
      <c r="I8" s="7"/>
      <c r="K8" s="8" t="s">
        <v>3</v>
      </c>
      <c r="L8" s="54">
        <v>76</v>
      </c>
    </row>
    <row r="9" spans="1:12" x14ac:dyDescent="0.25">
      <c r="E9" s="8" t="s">
        <v>4</v>
      </c>
      <c r="F9" s="9">
        <v>0.12</v>
      </c>
      <c r="G9" s="6"/>
      <c r="H9" s="8"/>
      <c r="I9" s="7"/>
      <c r="K9" s="8" t="s">
        <v>5</v>
      </c>
      <c r="L9" s="54">
        <v>1000</v>
      </c>
    </row>
    <row r="10" spans="1:12" x14ac:dyDescent="0.25">
      <c r="E10" s="8"/>
      <c r="F10" s="9"/>
      <c r="G10" s="6"/>
      <c r="H10" s="8"/>
      <c r="I10" s="9"/>
      <c r="K10" s="4" t="s">
        <v>6</v>
      </c>
      <c r="L10" s="55">
        <v>1500</v>
      </c>
    </row>
    <row r="11" spans="1:12" ht="18.75" x14ac:dyDescent="0.25">
      <c r="A11" s="63" t="s">
        <v>7</v>
      </c>
      <c r="B11" s="63"/>
      <c r="E11" s="4"/>
      <c r="F11" s="10"/>
      <c r="G11" s="6"/>
      <c r="H11" s="11"/>
      <c r="I11" s="9"/>
      <c r="K11" s="4" t="s">
        <v>8</v>
      </c>
      <c r="L11" s="7">
        <v>1500</v>
      </c>
    </row>
    <row r="12" spans="1:12" x14ac:dyDescent="0.25">
      <c r="A12" s="12" t="s">
        <v>58</v>
      </c>
      <c r="B12" s="5">
        <v>10</v>
      </c>
      <c r="E12" s="8"/>
      <c r="F12" s="9"/>
      <c r="G12" s="6"/>
      <c r="H12" s="8"/>
      <c r="I12" s="13"/>
      <c r="K12" s="4" t="s">
        <v>52</v>
      </c>
      <c r="L12" s="7">
        <v>76</v>
      </c>
    </row>
    <row r="13" spans="1:12" x14ac:dyDescent="0.25">
      <c r="A13" s="14" t="s">
        <v>9</v>
      </c>
      <c r="B13" s="15">
        <v>1</v>
      </c>
      <c r="E13" s="4"/>
      <c r="F13" s="4"/>
      <c r="G13" s="6"/>
      <c r="H13" s="8"/>
      <c r="I13" s="9"/>
      <c r="K13" s="4" t="s">
        <v>53</v>
      </c>
      <c r="L13" s="7">
        <v>60</v>
      </c>
    </row>
    <row r="14" spans="1:12" x14ac:dyDescent="0.25">
      <c r="A14" s="14" t="s">
        <v>10</v>
      </c>
      <c r="B14" s="16">
        <f>B13*B12</f>
        <v>10</v>
      </c>
      <c r="E14" s="8"/>
      <c r="F14" s="9"/>
      <c r="G14" s="6"/>
      <c r="H14" s="8"/>
      <c r="I14" s="13"/>
      <c r="K14" s="8" t="s">
        <v>54</v>
      </c>
      <c r="L14" s="7">
        <v>130</v>
      </c>
    </row>
    <row r="15" spans="1:12" x14ac:dyDescent="0.25">
      <c r="A15" s="14" t="s">
        <v>11</v>
      </c>
      <c r="B15" s="17">
        <f>IFERROR(B14/L29,0)</f>
        <v>5.5555555555555556E-4</v>
      </c>
      <c r="E15" s="4"/>
      <c r="F15" s="9"/>
      <c r="G15" s="6"/>
      <c r="H15" s="4"/>
      <c r="I15" s="18"/>
      <c r="K15" s="8"/>
      <c r="L15" s="7"/>
    </row>
    <row r="16" spans="1:12" x14ac:dyDescent="0.25">
      <c r="A16" s="14" t="s">
        <v>12</v>
      </c>
      <c r="B16" s="16">
        <f>F23+L25</f>
        <v>8.575222222222223</v>
      </c>
      <c r="E16" s="8"/>
      <c r="F16" s="9"/>
      <c r="G16" s="6"/>
      <c r="H16" s="8"/>
      <c r="I16" s="9"/>
      <c r="K16" s="8"/>
      <c r="L16" s="7"/>
    </row>
    <row r="17" spans="1:15" x14ac:dyDescent="0.25">
      <c r="A17" s="14" t="s">
        <v>13</v>
      </c>
      <c r="B17" s="16">
        <f>B12-F23</f>
        <v>3.8369999999999997</v>
      </c>
      <c r="E17" s="8"/>
      <c r="F17" s="9"/>
      <c r="G17" s="6"/>
      <c r="H17" s="8"/>
      <c r="I17" s="9"/>
      <c r="K17" s="8"/>
      <c r="L17" s="7"/>
    </row>
    <row r="18" spans="1:15" x14ac:dyDescent="0.25">
      <c r="A18" s="14" t="s">
        <v>14</v>
      </c>
      <c r="B18" s="19">
        <f>IFERROR(B19/B17,0)</f>
        <v>0.62867402195001887</v>
      </c>
      <c r="E18" s="8"/>
      <c r="F18" s="9"/>
      <c r="G18" s="6"/>
      <c r="H18" s="8"/>
      <c r="I18" s="9"/>
      <c r="K18" s="8"/>
      <c r="L18" s="7"/>
    </row>
    <row r="19" spans="1:15" x14ac:dyDescent="0.25">
      <c r="A19" s="14" t="s">
        <v>15</v>
      </c>
      <c r="B19" s="16">
        <f>L23*B15</f>
        <v>2.4122222222222223</v>
      </c>
      <c r="E19" s="8"/>
      <c r="F19" s="9"/>
      <c r="G19" s="6"/>
      <c r="H19" s="8"/>
      <c r="I19" s="9"/>
      <c r="K19" s="8"/>
      <c r="L19" s="7"/>
    </row>
    <row r="20" spans="1:15" x14ac:dyDescent="0.25">
      <c r="A20" s="14" t="s">
        <v>16</v>
      </c>
      <c r="B20" s="16">
        <f>B12-B16</f>
        <v>1.424777777777777</v>
      </c>
      <c r="E20" s="8"/>
      <c r="F20" s="9"/>
      <c r="G20" s="6"/>
      <c r="H20" s="8"/>
      <c r="I20" s="9"/>
      <c r="K20" s="8"/>
      <c r="L20" s="7"/>
    </row>
    <row r="21" spans="1:15" x14ac:dyDescent="0.25">
      <c r="A21" s="14" t="s">
        <v>17</v>
      </c>
      <c r="B21" s="17">
        <f>IFERROR(B20/B16,0)</f>
        <v>0.16615053707710836</v>
      </c>
      <c r="E21" s="8"/>
      <c r="F21" s="9"/>
      <c r="G21" s="6"/>
      <c r="H21" s="8"/>
      <c r="I21" s="9"/>
      <c r="K21" s="8"/>
      <c r="L21" s="7"/>
    </row>
    <row r="22" spans="1:15" x14ac:dyDescent="0.25">
      <c r="A22" s="14" t="s">
        <v>18</v>
      </c>
      <c r="B22" s="17">
        <f>IFERROR(F23/B12,0)</f>
        <v>0.61630000000000007</v>
      </c>
      <c r="E22" s="8"/>
      <c r="F22" s="9"/>
      <c r="G22" s="6"/>
      <c r="H22" s="8"/>
      <c r="I22" s="9"/>
      <c r="K22" s="8"/>
      <c r="L22" s="7"/>
    </row>
    <row r="23" spans="1:15" x14ac:dyDescent="0.25">
      <c r="E23" s="4" t="s">
        <v>19</v>
      </c>
      <c r="F23" s="7">
        <f>SUM(F8:F22)+SUM(F27:F29)</f>
        <v>6.1630000000000003</v>
      </c>
      <c r="G23" s="6"/>
      <c r="H23" s="4" t="s">
        <v>19</v>
      </c>
      <c r="I23" s="7"/>
      <c r="J23" s="3"/>
      <c r="K23" s="4" t="s">
        <v>19</v>
      </c>
      <c r="L23" s="7">
        <f>SUM(L6:L22)</f>
        <v>4342</v>
      </c>
    </row>
    <row r="24" spans="1:15" x14ac:dyDescent="0.25">
      <c r="E24" s="4"/>
      <c r="F24" s="4"/>
      <c r="H24" s="4"/>
      <c r="I24" s="7"/>
      <c r="J24" s="3"/>
      <c r="K24" s="4"/>
      <c r="L24" s="11"/>
    </row>
    <row r="25" spans="1:15" x14ac:dyDescent="0.25">
      <c r="E25" s="4" t="s">
        <v>20</v>
      </c>
      <c r="F25" s="17">
        <f>IFERROR(F23/B12,0)</f>
        <v>0.61630000000000007</v>
      </c>
      <c r="G25" s="6"/>
      <c r="H25" s="4"/>
      <c r="I25" s="7"/>
      <c r="J25" s="3"/>
      <c r="K25" s="4" t="s">
        <v>21</v>
      </c>
      <c r="L25" s="7">
        <f>IFERROR((L23*B15)/B13,0)</f>
        <v>2.4122222222222223</v>
      </c>
    </row>
    <row r="27" spans="1:15" x14ac:dyDescent="0.25">
      <c r="D27" s="4" t="s">
        <v>22</v>
      </c>
      <c r="E27" s="20">
        <v>2.53E-2</v>
      </c>
      <c r="F27" s="16">
        <f>B12*E27</f>
        <v>0.253</v>
      </c>
      <c r="O27" s="21"/>
    </row>
    <row r="28" spans="1:15" x14ac:dyDescent="0.25">
      <c r="D28" s="4" t="s">
        <v>23</v>
      </c>
      <c r="E28" s="20">
        <v>0</v>
      </c>
      <c r="F28" s="16">
        <f>B12*E28</f>
        <v>0</v>
      </c>
    </row>
    <row r="29" spans="1:15" x14ac:dyDescent="0.25">
      <c r="D29" s="4" t="s">
        <v>24</v>
      </c>
      <c r="E29" s="20">
        <v>0</v>
      </c>
      <c r="F29" s="16">
        <f>B12*E29</f>
        <v>0</v>
      </c>
      <c r="K29" s="22" t="s">
        <v>25</v>
      </c>
      <c r="L29" s="23">
        <v>18000</v>
      </c>
      <c r="O29" s="21"/>
    </row>
    <row r="30" spans="1:15" x14ac:dyDescent="0.25">
      <c r="H30" s="64" t="s">
        <v>26</v>
      </c>
      <c r="I30" s="64"/>
    </row>
    <row r="31" spans="1:15" x14ac:dyDescent="0.25">
      <c r="E31" s="1">
        <f>(1.9+3.16)/2</f>
        <v>2.5300000000000002</v>
      </c>
      <c r="H31" s="4" t="s">
        <v>2</v>
      </c>
      <c r="I31" s="7">
        <f>L25</f>
        <v>2.4122222222222223</v>
      </c>
      <c r="K31" s="24" t="s">
        <v>27</v>
      </c>
      <c r="L31" s="17">
        <f>IFERROR(L23/L29,0)</f>
        <v>0.24122222222222223</v>
      </c>
    </row>
    <row r="32" spans="1:15" x14ac:dyDescent="0.25">
      <c r="H32" s="4" t="s">
        <v>0</v>
      </c>
      <c r="I32" s="7">
        <f>F23</f>
        <v>6.1630000000000003</v>
      </c>
    </row>
    <row r="33" spans="8:9" x14ac:dyDescent="0.25">
      <c r="H33" s="4" t="s">
        <v>28</v>
      </c>
      <c r="I33" s="7">
        <f>SUM(I31+I32)*17%</f>
        <v>1.4577877777777779</v>
      </c>
    </row>
    <row r="34" spans="8:9" x14ac:dyDescent="0.25">
      <c r="H34" s="4" t="s">
        <v>29</v>
      </c>
      <c r="I34" s="7">
        <f>SUM(I31:I33)</f>
        <v>10.033010000000001</v>
      </c>
    </row>
  </sheetData>
  <mergeCells count="7">
    <mergeCell ref="K7:L7"/>
    <mergeCell ref="A11:B11"/>
    <mergeCell ref="H30:I30"/>
    <mergeCell ref="E3:F3"/>
    <mergeCell ref="I3:J3"/>
    <mergeCell ref="E7:F7"/>
    <mergeCell ref="H7:I7"/>
  </mergeCells>
  <conditionalFormatting sqref="L31">
    <cfRule type="cellIs" dxfId="26" priority="1" operator="lessThan">
      <formula>0.3</formula>
    </cfRule>
    <cfRule type="cellIs" dxfId="25" priority="2" operator="lessThan">
      <formula>0.3</formula>
    </cfRule>
    <cfRule type="cellIs" dxfId="24" priority="3" operator="lessThan">
      <formula>0.29</formula>
    </cfRule>
    <cfRule type="cellIs" dxfId="23" priority="4" operator="lessThan">
      <formula>0.3</formula>
    </cfRule>
    <cfRule type="cellIs" dxfId="22" priority="5" operator="greaterThan">
      <formula>0.4</formula>
    </cfRule>
    <cfRule type="cellIs" dxfId="21" priority="6" operator="between">
      <formula>0.3</formula>
      <formula>0.4</formula>
    </cfRule>
    <cfRule type="cellIs" dxfId="20" priority="7" operator="lessThan">
      <formula>0.35</formula>
    </cfRule>
    <cfRule type="cellIs" dxfId="19" priority="8" operator="greaterThan">
      <formula>0.35</formula>
    </cfRule>
    <cfRule type="cellIs" dxfId="18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5"/>
  <sheetViews>
    <sheetView topLeftCell="A6" zoomScale="150" zoomScaleNormal="150" workbookViewId="0">
      <selection activeCell="G23" sqref="G23"/>
    </sheetView>
  </sheetViews>
  <sheetFormatPr defaultColWidth="9.140625" defaultRowHeight="15" x14ac:dyDescent="0.25"/>
  <cols>
    <col min="1" max="1" width="29.28515625" style="1" customWidth="1"/>
    <col min="2" max="2" width="14.7109375" style="1" customWidth="1"/>
    <col min="4" max="4" width="21.7109375" style="1" customWidth="1"/>
    <col min="5" max="5" width="30.42578125" style="1" customWidth="1"/>
    <col min="6" max="6" width="11.5703125" style="1" customWidth="1"/>
    <col min="8" max="8" width="21.42578125" style="1" customWidth="1"/>
    <col min="9" max="9" width="11.5703125" style="1" customWidth="1"/>
    <col min="10" max="10" width="12.85546875" style="1" customWidth="1"/>
    <col min="11" max="11" width="36" style="1" customWidth="1"/>
    <col min="12" max="12" width="13.7109375" style="1" customWidth="1"/>
  </cols>
  <sheetData>
    <row r="3" spans="1:12" x14ac:dyDescent="0.25">
      <c r="E3" s="65"/>
      <c r="F3" s="65"/>
      <c r="I3" s="65"/>
      <c r="J3" s="65"/>
    </row>
    <row r="7" spans="1:12" x14ac:dyDescent="0.25">
      <c r="E7" s="66" t="s">
        <v>0</v>
      </c>
      <c r="F7" s="66"/>
      <c r="G7" s="2"/>
      <c r="H7" s="67" t="s">
        <v>1</v>
      </c>
      <c r="I7" s="67"/>
      <c r="J7" s="3"/>
      <c r="K7" s="62" t="s">
        <v>2</v>
      </c>
      <c r="L7" s="62"/>
    </row>
    <row r="8" spans="1:12" x14ac:dyDescent="0.25">
      <c r="E8" s="56" t="s">
        <v>65</v>
      </c>
      <c r="F8" s="5">
        <v>2</v>
      </c>
      <c r="G8" s="6"/>
      <c r="H8" s="4" t="s">
        <v>61</v>
      </c>
      <c r="I8" s="4">
        <f>(38/1000)*80</f>
        <v>3.04</v>
      </c>
      <c r="K8" s="8" t="s">
        <v>3</v>
      </c>
      <c r="L8" s="54">
        <v>76</v>
      </c>
    </row>
    <row r="9" spans="1:12" x14ac:dyDescent="0.25">
      <c r="E9" s="56" t="s">
        <v>66</v>
      </c>
      <c r="F9" s="9">
        <f>(45/1000)*50</f>
        <v>2.25</v>
      </c>
      <c r="G9" s="6"/>
      <c r="H9" s="8" t="s">
        <v>62</v>
      </c>
      <c r="I9" s="7"/>
      <c r="K9" s="8" t="s">
        <v>5</v>
      </c>
      <c r="L9" s="54">
        <v>1000</v>
      </c>
    </row>
    <row r="10" spans="1:12" x14ac:dyDescent="0.25">
      <c r="E10" s="56" t="s">
        <v>67</v>
      </c>
      <c r="F10" s="9">
        <f>(18/1000)*5</f>
        <v>0.09</v>
      </c>
      <c r="G10" s="6"/>
      <c r="H10" s="8"/>
      <c r="I10" s="9"/>
      <c r="K10" s="4" t="s">
        <v>6</v>
      </c>
      <c r="L10" s="55">
        <v>1500</v>
      </c>
    </row>
    <row r="11" spans="1:12" ht="18.75" x14ac:dyDescent="0.25">
      <c r="A11" s="63" t="s">
        <v>60</v>
      </c>
      <c r="B11" s="63"/>
      <c r="E11" s="56" t="s">
        <v>68</v>
      </c>
      <c r="F11" s="10">
        <f>(9/1000)*10</f>
        <v>0.09</v>
      </c>
      <c r="G11" s="6"/>
      <c r="H11" s="11"/>
      <c r="I11" s="9"/>
      <c r="K11" s="4" t="s">
        <v>8</v>
      </c>
      <c r="L11" s="7">
        <v>1500</v>
      </c>
    </row>
    <row r="12" spans="1:12" x14ac:dyDescent="0.25">
      <c r="A12" s="12" t="s">
        <v>63</v>
      </c>
      <c r="B12" s="5">
        <v>35</v>
      </c>
      <c r="E12" s="8" t="s">
        <v>69</v>
      </c>
      <c r="F12" s="9">
        <f>(3/500)*5</f>
        <v>0.03</v>
      </c>
      <c r="G12" s="6"/>
      <c r="H12" s="8"/>
      <c r="I12" s="13"/>
      <c r="K12" s="4" t="s">
        <v>52</v>
      </c>
      <c r="L12" s="7">
        <v>76</v>
      </c>
    </row>
    <row r="13" spans="1:12" x14ac:dyDescent="0.25">
      <c r="A13" s="14" t="s">
        <v>9</v>
      </c>
      <c r="B13" s="15">
        <v>1</v>
      </c>
      <c r="E13" s="4" t="s">
        <v>70</v>
      </c>
      <c r="F13" s="4">
        <f>(3/400)*10</f>
        <v>7.4999999999999997E-2</v>
      </c>
      <c r="G13" s="6"/>
      <c r="H13" s="8"/>
      <c r="I13" s="9"/>
      <c r="K13" s="4" t="s">
        <v>53</v>
      </c>
      <c r="L13" s="7">
        <v>60</v>
      </c>
    </row>
    <row r="14" spans="1:12" x14ac:dyDescent="0.25">
      <c r="A14" s="14" t="s">
        <v>10</v>
      </c>
      <c r="B14" s="16">
        <f>B13*B12</f>
        <v>35</v>
      </c>
      <c r="E14" s="8" t="s">
        <v>71</v>
      </c>
      <c r="F14" s="9">
        <f>(8.99/1000)*15</f>
        <v>0.13485</v>
      </c>
      <c r="G14" s="6"/>
      <c r="H14" s="8"/>
      <c r="I14" s="13"/>
      <c r="K14" s="8" t="s">
        <v>54</v>
      </c>
      <c r="L14" s="7">
        <v>130</v>
      </c>
    </row>
    <row r="15" spans="1:12" x14ac:dyDescent="0.25">
      <c r="A15" s="14" t="s">
        <v>11</v>
      </c>
      <c r="B15" s="17">
        <f>IFERROR(B14/L29,0)</f>
        <v>1.9444444444444444E-3</v>
      </c>
      <c r="E15" s="4" t="s">
        <v>72</v>
      </c>
      <c r="F15" s="9">
        <f>(45.66/1000)*50</f>
        <v>2.2829999999999999</v>
      </c>
      <c r="G15" s="6"/>
      <c r="H15" s="4"/>
      <c r="I15" s="18"/>
      <c r="K15" s="8" t="s">
        <v>76</v>
      </c>
      <c r="L15" s="7">
        <f>80*24</f>
        <v>1920</v>
      </c>
    </row>
    <row r="16" spans="1:12" x14ac:dyDescent="0.25">
      <c r="A16" s="14" t="s">
        <v>12</v>
      </c>
      <c r="B16" s="16">
        <f>F23+L25</f>
        <v>26.563836111111108</v>
      </c>
      <c r="E16" s="8" t="s">
        <v>64</v>
      </c>
      <c r="F16" s="9">
        <f>(38.9/1000)*150</f>
        <v>5.835</v>
      </c>
      <c r="G16" s="6"/>
      <c r="H16" s="8"/>
      <c r="I16" s="9"/>
      <c r="K16" s="8"/>
      <c r="L16" s="7"/>
    </row>
    <row r="17" spans="1:15" x14ac:dyDescent="0.25">
      <c r="A17" s="14" t="s">
        <v>13</v>
      </c>
      <c r="B17" s="16">
        <f>B12-F23</f>
        <v>20.612275</v>
      </c>
      <c r="E17" s="8" t="s">
        <v>73</v>
      </c>
      <c r="F17" s="9">
        <f>(35/5000)*10</f>
        <v>7.0000000000000007E-2</v>
      </c>
      <c r="G17" s="6"/>
      <c r="H17" s="8"/>
      <c r="I17" s="9"/>
      <c r="K17" s="8"/>
      <c r="L17" s="7"/>
    </row>
    <row r="18" spans="1:15" x14ac:dyDescent="0.25">
      <c r="A18" s="14" t="s">
        <v>14</v>
      </c>
      <c r="B18" s="19">
        <f>IFERROR(B19/B17,0)</f>
        <v>0.5907213595350882</v>
      </c>
      <c r="E18" s="8" t="s">
        <v>75</v>
      </c>
      <c r="F18" s="9">
        <f>(41/100)</f>
        <v>0.41</v>
      </c>
      <c r="G18" s="6"/>
      <c r="H18" s="8"/>
      <c r="I18" s="9"/>
      <c r="K18" s="8"/>
      <c r="L18" s="7"/>
    </row>
    <row r="19" spans="1:15" x14ac:dyDescent="0.25">
      <c r="A19" s="14" t="s">
        <v>15</v>
      </c>
      <c r="B19" s="16">
        <f>L23*B15</f>
        <v>12.17611111111111</v>
      </c>
      <c r="E19" s="8" t="s">
        <v>75</v>
      </c>
      <c r="F19" s="9">
        <f>(139.9/800)</f>
        <v>0.174875</v>
      </c>
      <c r="G19" s="6"/>
      <c r="H19" s="8"/>
      <c r="I19" s="9"/>
      <c r="K19" s="8"/>
      <c r="L19" s="7"/>
    </row>
    <row r="20" spans="1:15" x14ac:dyDescent="0.25">
      <c r="A20" s="14" t="s">
        <v>16</v>
      </c>
      <c r="B20" s="16">
        <f>B12-B16</f>
        <v>8.4361638888888919</v>
      </c>
      <c r="E20" s="8"/>
      <c r="F20" s="9"/>
      <c r="G20" s="6"/>
      <c r="H20" s="8"/>
      <c r="I20" s="9"/>
      <c r="K20" s="8"/>
      <c r="L20" s="7"/>
    </row>
    <row r="21" spans="1:15" x14ac:dyDescent="0.25">
      <c r="A21" s="14" t="s">
        <v>17</v>
      </c>
      <c r="B21" s="17">
        <f>IFERROR(B20/B16,0)</f>
        <v>0.3175807836489481</v>
      </c>
      <c r="E21" s="8"/>
      <c r="F21" s="9"/>
      <c r="G21" s="6"/>
      <c r="H21" s="8"/>
      <c r="I21" s="9"/>
      <c r="K21" s="8"/>
      <c r="L21" s="7"/>
    </row>
    <row r="22" spans="1:15" x14ac:dyDescent="0.25">
      <c r="A22" s="14" t="s">
        <v>18</v>
      </c>
      <c r="B22" s="17">
        <f>IFERROR(F23/B12,0)</f>
        <v>0.41107785714285711</v>
      </c>
      <c r="E22" s="8"/>
      <c r="F22" s="9"/>
      <c r="G22" s="6"/>
      <c r="H22" s="8"/>
      <c r="I22" s="9"/>
      <c r="K22" s="8"/>
      <c r="L22" s="7"/>
    </row>
    <row r="23" spans="1:15" x14ac:dyDescent="0.25">
      <c r="E23" s="4" t="s">
        <v>19</v>
      </c>
      <c r="F23" s="7">
        <f>SUM(F8:F22)+SUM(F27:F29)</f>
        <v>14.387725</v>
      </c>
      <c r="G23" s="60">
        <f>F23/2</f>
        <v>7.1938624999999998</v>
      </c>
      <c r="H23" s="4" t="s">
        <v>19</v>
      </c>
      <c r="I23" s="7"/>
      <c r="J23" s="3"/>
      <c r="K23" s="4" t="s">
        <v>19</v>
      </c>
      <c r="L23" s="7">
        <f>SUM(L6:L22)</f>
        <v>6262</v>
      </c>
    </row>
    <row r="24" spans="1:15" x14ac:dyDescent="0.25">
      <c r="E24" s="4"/>
      <c r="F24" s="4"/>
      <c r="H24" s="4"/>
      <c r="I24" s="7"/>
      <c r="J24" s="3"/>
      <c r="K24" s="4"/>
      <c r="L24" s="11"/>
    </row>
    <row r="25" spans="1:15" x14ac:dyDescent="0.25">
      <c r="E25" s="4" t="s">
        <v>20</v>
      </c>
      <c r="F25" s="17">
        <f>IFERROR(F23/B12,0)</f>
        <v>0.41107785714285711</v>
      </c>
      <c r="G25" s="6"/>
      <c r="H25" s="4"/>
      <c r="I25" s="7"/>
      <c r="J25" s="3"/>
      <c r="K25" s="4" t="s">
        <v>21</v>
      </c>
      <c r="L25" s="7">
        <f>IFERROR((L23*B15)/B13,0)</f>
        <v>12.17611111111111</v>
      </c>
    </row>
    <row r="27" spans="1:15" x14ac:dyDescent="0.25">
      <c r="D27" s="4" t="s">
        <v>22</v>
      </c>
      <c r="E27" s="20">
        <v>2.7E-2</v>
      </c>
      <c r="F27" s="16">
        <f>B12*E27</f>
        <v>0.94499999999999995</v>
      </c>
      <c r="O27" s="21"/>
    </row>
    <row r="28" spans="1:15" x14ac:dyDescent="0.25">
      <c r="D28" s="4" t="s">
        <v>23</v>
      </c>
      <c r="E28" s="20">
        <v>0</v>
      </c>
      <c r="F28" s="16">
        <f>B12*E28</f>
        <v>0</v>
      </c>
    </row>
    <row r="29" spans="1:15" x14ac:dyDescent="0.25">
      <c r="D29" s="4" t="s">
        <v>24</v>
      </c>
      <c r="E29" s="20">
        <v>0</v>
      </c>
      <c r="F29" s="16">
        <f>B12*E29</f>
        <v>0</v>
      </c>
      <c r="K29" s="22" t="s">
        <v>25</v>
      </c>
      <c r="L29" s="23">
        <v>18000</v>
      </c>
      <c r="O29" s="21"/>
    </row>
    <row r="30" spans="1:15" x14ac:dyDescent="0.25">
      <c r="H30" s="64" t="s">
        <v>26</v>
      </c>
      <c r="I30" s="64"/>
    </row>
    <row r="31" spans="1:15" x14ac:dyDescent="0.25">
      <c r="D31" s="57"/>
      <c r="E31" s="58"/>
      <c r="F31" s="3"/>
      <c r="H31" s="4" t="s">
        <v>2</v>
      </c>
      <c r="I31" s="7">
        <f>L25</f>
        <v>12.17611111111111</v>
      </c>
      <c r="K31" s="24" t="s">
        <v>27</v>
      </c>
      <c r="L31" s="17">
        <f>IFERROR(L23/L29,0)</f>
        <v>0.34788888888888891</v>
      </c>
    </row>
    <row r="32" spans="1:15" x14ac:dyDescent="0.25">
      <c r="D32" s="11" t="s">
        <v>74</v>
      </c>
      <c r="E32" s="59">
        <v>0.3</v>
      </c>
      <c r="F32" s="11" t="s">
        <v>77</v>
      </c>
      <c r="H32" s="4" t="s">
        <v>0</v>
      </c>
      <c r="I32" s="7">
        <f>F23</f>
        <v>14.387725</v>
      </c>
    </row>
    <row r="33" spans="4:9" x14ac:dyDescent="0.25">
      <c r="D33" s="11" t="s">
        <v>78</v>
      </c>
      <c r="E33" s="11">
        <v>10.5</v>
      </c>
      <c r="F33" s="11"/>
      <c r="H33" s="4" t="s">
        <v>28</v>
      </c>
      <c r="I33" s="7">
        <f>SUM(I31+I32)*15%</f>
        <v>3.984575416666666</v>
      </c>
    </row>
    <row r="34" spans="4:9" x14ac:dyDescent="0.25">
      <c r="D34" s="11" t="s">
        <v>79</v>
      </c>
      <c r="E34" s="11">
        <v>7.16</v>
      </c>
      <c r="F34" s="11"/>
      <c r="H34" s="4" t="s">
        <v>29</v>
      </c>
      <c r="I34" s="7">
        <f>SUM(I31:I33)</f>
        <v>30.548411527777773</v>
      </c>
    </row>
    <row r="35" spans="4:9" x14ac:dyDescent="0.25">
      <c r="D35" s="11" t="s">
        <v>80</v>
      </c>
      <c r="E35" s="11">
        <f>E33-E34</f>
        <v>3.34</v>
      </c>
      <c r="F35" s="11"/>
    </row>
  </sheetData>
  <mergeCells count="7">
    <mergeCell ref="K7:L7"/>
    <mergeCell ref="A11:B11"/>
    <mergeCell ref="H30:I30"/>
    <mergeCell ref="E3:F3"/>
    <mergeCell ref="I3:J3"/>
    <mergeCell ref="E7:F7"/>
    <mergeCell ref="H7:I7"/>
  </mergeCells>
  <conditionalFormatting sqref="L31">
    <cfRule type="cellIs" dxfId="17" priority="1" operator="lessThan">
      <formula>0.3</formula>
    </cfRule>
    <cfRule type="cellIs" dxfId="16" priority="2" operator="lessThan">
      <formula>0.3</formula>
    </cfRule>
    <cfRule type="cellIs" dxfId="15" priority="3" operator="lessThan">
      <formula>0.29</formula>
    </cfRule>
    <cfRule type="cellIs" dxfId="14" priority="4" operator="lessThan">
      <formula>0.3</formula>
    </cfRule>
    <cfRule type="cellIs" dxfId="13" priority="5" operator="greaterThan">
      <formula>0.4</formula>
    </cfRule>
    <cfRule type="cellIs" dxfId="12" priority="6" operator="between">
      <formula>0.3</formula>
      <formula>0.4</formula>
    </cfRule>
    <cfRule type="cellIs" dxfId="11" priority="7" operator="lessThan">
      <formula>0.35</formula>
    </cfRule>
    <cfRule type="cellIs" dxfId="10" priority="8" operator="greaterThan">
      <formula>0.35</formula>
    </cfRule>
    <cfRule type="cellIs" dxfId="9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4"/>
  <sheetViews>
    <sheetView tabSelected="1" topLeftCell="A7" zoomScale="150" zoomScaleNormal="150" workbookViewId="0">
      <selection activeCell="C22" sqref="C22"/>
    </sheetView>
  </sheetViews>
  <sheetFormatPr defaultColWidth="9.140625" defaultRowHeight="15" x14ac:dyDescent="0.25"/>
  <cols>
    <col min="1" max="1" width="29.28515625" style="1" customWidth="1"/>
    <col min="2" max="2" width="14.7109375" style="1" customWidth="1"/>
    <col min="4" max="4" width="21.7109375" style="1" customWidth="1"/>
    <col min="5" max="5" width="30.42578125" style="1" customWidth="1"/>
    <col min="6" max="6" width="11.5703125" style="1" customWidth="1"/>
    <col min="8" max="8" width="21.42578125" style="1" customWidth="1"/>
    <col min="9" max="9" width="11.5703125" style="1" customWidth="1"/>
    <col min="10" max="10" width="12.85546875" style="1" customWidth="1"/>
    <col min="11" max="11" width="36" style="1" customWidth="1"/>
    <col min="12" max="12" width="13.7109375" style="1" customWidth="1"/>
  </cols>
  <sheetData>
    <row r="3" spans="1:12" x14ac:dyDescent="0.25">
      <c r="E3" s="65"/>
      <c r="F3" s="65"/>
      <c r="I3" s="65"/>
      <c r="J3" s="65"/>
    </row>
    <row r="7" spans="1:12" x14ac:dyDescent="0.25">
      <c r="E7" s="66" t="s">
        <v>0</v>
      </c>
      <c r="F7" s="66"/>
      <c r="G7" s="2"/>
      <c r="H7" s="67" t="s">
        <v>1</v>
      </c>
      <c r="I7" s="67"/>
      <c r="J7" s="3"/>
      <c r="K7" s="62" t="s">
        <v>2</v>
      </c>
      <c r="L7" s="62"/>
    </row>
    <row r="8" spans="1:12" x14ac:dyDescent="0.25">
      <c r="E8" s="56" t="s">
        <v>65</v>
      </c>
      <c r="F8" s="5">
        <v>2</v>
      </c>
      <c r="G8" s="6"/>
      <c r="H8" s="4"/>
      <c r="I8" s="4"/>
      <c r="K8" s="8" t="s">
        <v>3</v>
      </c>
      <c r="L8" s="54">
        <v>76</v>
      </c>
    </row>
    <row r="9" spans="1:12" x14ac:dyDescent="0.25">
      <c r="E9" s="56" t="s">
        <v>66</v>
      </c>
      <c r="F9" s="9">
        <f>(45/1000)*50</f>
        <v>2.25</v>
      </c>
      <c r="G9" s="6"/>
      <c r="H9" s="8"/>
      <c r="I9" s="7"/>
      <c r="K9" s="8" t="s">
        <v>5</v>
      </c>
      <c r="L9" s="54">
        <v>1000</v>
      </c>
    </row>
    <row r="10" spans="1:12" x14ac:dyDescent="0.25">
      <c r="E10" s="56" t="s">
        <v>67</v>
      </c>
      <c r="F10" s="9">
        <f>(18/1000)*5</f>
        <v>0.09</v>
      </c>
      <c r="G10" s="6"/>
      <c r="H10" s="8"/>
      <c r="I10" s="9"/>
      <c r="K10" s="4" t="s">
        <v>6</v>
      </c>
      <c r="L10" s="55">
        <v>1500</v>
      </c>
    </row>
    <row r="11" spans="1:12" ht="18.75" x14ac:dyDescent="0.25">
      <c r="A11" s="63" t="s">
        <v>60</v>
      </c>
      <c r="B11" s="63"/>
      <c r="D11" s="1">
        <f>35+1.49</f>
        <v>36.49</v>
      </c>
      <c r="E11" s="56" t="s">
        <v>68</v>
      </c>
      <c r="F11" s="10">
        <f>(9/1000)*10</f>
        <v>0.09</v>
      </c>
      <c r="G11" s="6"/>
      <c r="H11" s="11"/>
      <c r="I11" s="9"/>
      <c r="K11" s="4" t="s">
        <v>8</v>
      </c>
      <c r="L11" s="7">
        <v>1500</v>
      </c>
    </row>
    <row r="12" spans="1:12" x14ac:dyDescent="0.25">
      <c r="A12" s="12" t="s">
        <v>63</v>
      </c>
      <c r="B12" s="5">
        <v>35</v>
      </c>
      <c r="D12" s="1">
        <v>35</v>
      </c>
      <c r="E12" s="8" t="s">
        <v>69</v>
      </c>
      <c r="F12" s="9">
        <f>(3/500)*5</f>
        <v>0.03</v>
      </c>
      <c r="G12" s="6"/>
      <c r="H12" s="8"/>
      <c r="I12" s="13"/>
      <c r="K12" s="4" t="s">
        <v>52</v>
      </c>
      <c r="L12" s="7">
        <v>76</v>
      </c>
    </row>
    <row r="13" spans="1:12" x14ac:dyDescent="0.25">
      <c r="A13" s="14" t="s">
        <v>9</v>
      </c>
      <c r="B13" s="15">
        <v>1</v>
      </c>
      <c r="D13" s="1">
        <v>30.12</v>
      </c>
      <c r="E13" s="4" t="s">
        <v>70</v>
      </c>
      <c r="F13" s="4">
        <f>(3/400)*10</f>
        <v>7.4999999999999997E-2</v>
      </c>
      <c r="G13" s="6"/>
      <c r="H13" s="8"/>
      <c r="I13" s="9"/>
      <c r="K13" s="4" t="s">
        <v>53</v>
      </c>
      <c r="L13" s="7">
        <v>60</v>
      </c>
    </row>
    <row r="14" spans="1:12" x14ac:dyDescent="0.25">
      <c r="A14" s="14" t="s">
        <v>10</v>
      </c>
      <c r="B14" s="16">
        <f>B13*B12</f>
        <v>35</v>
      </c>
      <c r="E14" s="8" t="s">
        <v>71</v>
      </c>
      <c r="F14" s="9">
        <f>(8.99/1000)*15</f>
        <v>0.13485</v>
      </c>
      <c r="G14" s="6"/>
      <c r="H14" s="8"/>
      <c r="I14" s="13"/>
      <c r="K14" s="8" t="s">
        <v>54</v>
      </c>
      <c r="L14" s="7">
        <v>130</v>
      </c>
    </row>
    <row r="15" spans="1:12" x14ac:dyDescent="0.25">
      <c r="A15" s="14" t="s">
        <v>11</v>
      </c>
      <c r="B15" s="17">
        <f>IFERROR(B14/L38,0)</f>
        <v>1.9444444444444444E-3</v>
      </c>
      <c r="D15" s="1">
        <f>D12-D13</f>
        <v>4.879999999999999</v>
      </c>
      <c r="E15" s="4" t="s">
        <v>72</v>
      </c>
      <c r="F15" s="9">
        <f>(45.66/1000)*50</f>
        <v>2.2829999999999999</v>
      </c>
      <c r="G15" s="6"/>
      <c r="H15" s="4"/>
      <c r="I15" s="18"/>
      <c r="K15" s="8" t="s">
        <v>76</v>
      </c>
      <c r="L15" s="7">
        <f>80*24</f>
        <v>1920</v>
      </c>
    </row>
    <row r="16" spans="1:12" x14ac:dyDescent="0.25">
      <c r="A16" s="14" t="s">
        <v>12</v>
      </c>
      <c r="B16" s="16">
        <f>F32+L34</f>
        <v>33.461461111111106</v>
      </c>
      <c r="D16" s="1">
        <f>D15*30%</f>
        <v>1.4639999999999997</v>
      </c>
      <c r="E16" s="8" t="s">
        <v>64</v>
      </c>
      <c r="F16" s="9">
        <f>(38.9/1000)*150</f>
        <v>5.835</v>
      </c>
      <c r="G16" s="6"/>
      <c r="H16" s="8"/>
      <c r="I16" s="9"/>
      <c r="K16" s="8"/>
      <c r="L16" s="7"/>
    </row>
    <row r="17" spans="1:15" x14ac:dyDescent="0.25">
      <c r="A17" s="14" t="s">
        <v>13</v>
      </c>
      <c r="B17" s="16">
        <f>B12-F32</f>
        <v>13.714650000000002</v>
      </c>
      <c r="D17" s="1">
        <f>D15*70%</f>
        <v>3.415999999999999</v>
      </c>
      <c r="E17" s="8" t="s">
        <v>73</v>
      </c>
      <c r="F17" s="9">
        <f>(35/5000)*10</f>
        <v>7.0000000000000007E-2</v>
      </c>
      <c r="G17" s="6"/>
      <c r="H17" s="8"/>
      <c r="I17" s="9"/>
      <c r="K17" s="8"/>
      <c r="L17" s="7"/>
    </row>
    <row r="18" spans="1:15" x14ac:dyDescent="0.25">
      <c r="A18" s="14" t="s">
        <v>14</v>
      </c>
      <c r="B18" s="19">
        <f>IFERROR(B19/B17,0)</f>
        <v>0.88781785252347734</v>
      </c>
      <c r="D18" s="21">
        <f>D17-L34</f>
        <v>-8.7601111111111116</v>
      </c>
      <c r="E18" s="8" t="s">
        <v>75</v>
      </c>
      <c r="F18" s="9">
        <f>(41/100)</f>
        <v>0.41</v>
      </c>
      <c r="G18" s="6"/>
      <c r="H18" s="8"/>
      <c r="I18" s="9"/>
      <c r="K18" s="8"/>
      <c r="L18" s="7"/>
    </row>
    <row r="19" spans="1:15" x14ac:dyDescent="0.25">
      <c r="A19" s="14" t="s">
        <v>15</v>
      </c>
      <c r="B19" s="16">
        <f>L32*B15</f>
        <v>12.17611111111111</v>
      </c>
      <c r="E19" s="8"/>
      <c r="F19" s="9"/>
      <c r="G19" s="6"/>
      <c r="H19" s="8"/>
      <c r="I19" s="9"/>
      <c r="K19" s="8"/>
      <c r="L19" s="7"/>
    </row>
    <row r="20" spans="1:15" x14ac:dyDescent="0.25">
      <c r="A20" s="14" t="s">
        <v>16</v>
      </c>
      <c r="B20" s="16">
        <f>B12-B16</f>
        <v>1.538538888888894</v>
      </c>
      <c r="D20" s="21"/>
      <c r="E20" s="8" t="s">
        <v>81</v>
      </c>
      <c r="F20" s="9">
        <v>0.12</v>
      </c>
      <c r="G20" s="6"/>
      <c r="H20" s="8"/>
      <c r="I20" s="9"/>
      <c r="K20" s="8"/>
      <c r="L20" s="7"/>
    </row>
    <row r="21" spans="1:15" x14ac:dyDescent="0.25">
      <c r="A21" s="14" t="s">
        <v>17</v>
      </c>
      <c r="B21" s="17">
        <f>IFERROR(B20/B16,0)</f>
        <v>4.5979429403278857E-2</v>
      </c>
      <c r="E21" s="8" t="s">
        <v>82</v>
      </c>
      <c r="F21" s="9">
        <v>0.4</v>
      </c>
      <c r="G21" s="6"/>
      <c r="H21" s="8"/>
      <c r="I21" s="9"/>
      <c r="K21" s="8"/>
      <c r="L21" s="7"/>
    </row>
    <row r="22" spans="1:15" x14ac:dyDescent="0.25">
      <c r="A22" s="14" t="s">
        <v>18</v>
      </c>
      <c r="B22" s="17">
        <f>IFERROR(F32/B12,0)</f>
        <v>0.60815285714285705</v>
      </c>
      <c r="D22" s="21"/>
      <c r="E22" s="8" t="s">
        <v>83</v>
      </c>
      <c r="F22" s="9">
        <v>0.27</v>
      </c>
      <c r="G22" s="6"/>
      <c r="H22" s="8"/>
      <c r="I22" s="9"/>
      <c r="K22" s="8"/>
      <c r="L22" s="7"/>
    </row>
    <row r="23" spans="1:15" x14ac:dyDescent="0.25">
      <c r="E23" s="8" t="s">
        <v>84</v>
      </c>
      <c r="F23" s="9">
        <v>0.18</v>
      </c>
      <c r="G23" s="6"/>
      <c r="H23" s="8"/>
      <c r="I23" s="9"/>
      <c r="K23" s="8"/>
      <c r="L23" s="7"/>
    </row>
    <row r="24" spans="1:15" x14ac:dyDescent="0.25">
      <c r="D24" s="1">
        <f>1.09+3.16</f>
        <v>4.25</v>
      </c>
      <c r="E24" s="8" t="s">
        <v>85</v>
      </c>
      <c r="F24" s="9">
        <v>0.04</v>
      </c>
      <c r="G24" s="6"/>
      <c r="H24" s="8"/>
      <c r="I24" s="9"/>
      <c r="K24" s="8"/>
      <c r="L24" s="7"/>
    </row>
    <row r="25" spans="1:15" x14ac:dyDescent="0.25">
      <c r="E25" s="8" t="s">
        <v>86</v>
      </c>
      <c r="F25" s="9">
        <v>0.1</v>
      </c>
      <c r="G25" s="6"/>
      <c r="H25" s="8"/>
      <c r="I25" s="9"/>
      <c r="K25" s="8"/>
      <c r="L25" s="7"/>
    </row>
    <row r="26" spans="1:15" x14ac:dyDescent="0.25">
      <c r="E26" s="8" t="s">
        <v>87</v>
      </c>
      <c r="F26" s="9">
        <v>1.92</v>
      </c>
      <c r="G26" s="6"/>
      <c r="H26" s="8"/>
      <c r="I26" s="9"/>
      <c r="K26" s="8"/>
      <c r="L26" s="7"/>
    </row>
    <row r="27" spans="1:15" x14ac:dyDescent="0.25">
      <c r="E27" s="8"/>
      <c r="F27" s="9"/>
      <c r="G27" s="6"/>
      <c r="H27" s="8"/>
      <c r="I27" s="9"/>
      <c r="K27" s="8"/>
      <c r="L27" s="7"/>
    </row>
    <row r="28" spans="1:15" x14ac:dyDescent="0.25">
      <c r="E28" s="8"/>
      <c r="F28" s="9"/>
      <c r="G28" s="6"/>
      <c r="H28" s="8"/>
      <c r="I28" s="9"/>
      <c r="K28" s="8"/>
      <c r="L28" s="7"/>
    </row>
    <row r="29" spans="1:15" x14ac:dyDescent="0.25">
      <c r="E29" s="8"/>
      <c r="F29" s="9"/>
      <c r="G29" s="6"/>
      <c r="H29" s="8"/>
      <c r="I29" s="9"/>
      <c r="K29" s="8"/>
      <c r="L29" s="7"/>
    </row>
    <row r="30" spans="1:15" x14ac:dyDescent="0.25">
      <c r="E30" s="4"/>
      <c r="F30" s="7"/>
      <c r="G30" s="6"/>
      <c r="H30" s="8"/>
      <c r="I30" s="9"/>
      <c r="K30" s="8"/>
      <c r="L30" s="7"/>
    </row>
    <row r="31" spans="1:15" x14ac:dyDescent="0.25">
      <c r="D31" s="4" t="s">
        <v>22</v>
      </c>
      <c r="E31" s="68"/>
      <c r="F31" s="69"/>
      <c r="G31" s="6"/>
      <c r="H31" s="8"/>
      <c r="I31" s="9"/>
      <c r="K31" s="8"/>
      <c r="L31" s="7"/>
      <c r="O31" s="21"/>
    </row>
    <row r="32" spans="1:15" x14ac:dyDescent="0.25">
      <c r="D32" s="4" t="s">
        <v>23</v>
      </c>
      <c r="E32" s="4" t="s">
        <v>19</v>
      </c>
      <c r="F32" s="7">
        <f>SUM(F8:F31)+SUM(F36:F38)</f>
        <v>21.285349999999998</v>
      </c>
      <c r="G32" s="60"/>
      <c r="H32" s="4" t="s">
        <v>19</v>
      </c>
      <c r="I32" s="7">
        <f>SUM(I8:I31)</f>
        <v>0</v>
      </c>
      <c r="J32" s="3"/>
      <c r="K32" s="4" t="s">
        <v>19</v>
      </c>
      <c r="L32" s="7">
        <f>SUM(L6:L31)</f>
        <v>6262</v>
      </c>
    </row>
    <row r="33" spans="4:15" x14ac:dyDescent="0.25">
      <c r="D33" s="4" t="s">
        <v>24</v>
      </c>
      <c r="E33" s="4"/>
      <c r="F33" s="4"/>
      <c r="H33" s="4"/>
      <c r="I33" s="7"/>
      <c r="J33" s="3"/>
      <c r="K33" s="4"/>
      <c r="L33" s="11"/>
      <c r="O33" s="21"/>
    </row>
    <row r="34" spans="4:15" x14ac:dyDescent="0.25">
      <c r="E34" s="4" t="s">
        <v>20</v>
      </c>
      <c r="F34" s="17">
        <f>IFERROR(F32/B12,0)</f>
        <v>0.60815285714285705</v>
      </c>
      <c r="G34" s="6"/>
      <c r="H34" s="4"/>
      <c r="I34" s="7"/>
      <c r="J34" s="3"/>
      <c r="K34" s="4" t="s">
        <v>21</v>
      </c>
      <c r="L34" s="7">
        <f>IFERROR((L32*B15)/B13,0)</f>
        <v>12.17611111111111</v>
      </c>
    </row>
    <row r="35" spans="4:15" x14ac:dyDescent="0.25">
      <c r="D35" s="57"/>
    </row>
    <row r="36" spans="4:15" x14ac:dyDescent="0.25">
      <c r="D36" s="3"/>
      <c r="E36" s="20">
        <v>4.2500000000000003E-2</v>
      </c>
      <c r="F36" s="16">
        <f>B12*E36</f>
        <v>1.4875</v>
      </c>
    </row>
    <row r="37" spans="4:15" x14ac:dyDescent="0.25">
      <c r="D37" s="3"/>
      <c r="E37" s="20">
        <v>0</v>
      </c>
      <c r="F37" s="16">
        <f>B12*E37</f>
        <v>0</v>
      </c>
    </row>
    <row r="38" spans="4:15" x14ac:dyDescent="0.25">
      <c r="D38" s="3"/>
      <c r="E38" s="20">
        <v>0.1</v>
      </c>
      <c r="F38" s="16">
        <f>B12*E38</f>
        <v>3.5</v>
      </c>
      <c r="K38" s="22" t="s">
        <v>25</v>
      </c>
      <c r="L38" s="23">
        <v>18000</v>
      </c>
    </row>
    <row r="39" spans="4:15" x14ac:dyDescent="0.25">
      <c r="D39" s="3"/>
      <c r="H39" s="64" t="s">
        <v>26</v>
      </c>
      <c r="I39" s="64"/>
    </row>
    <row r="40" spans="4:15" x14ac:dyDescent="0.25">
      <c r="E40" s="58"/>
      <c r="F40" s="3"/>
      <c r="H40" s="4" t="s">
        <v>2</v>
      </c>
      <c r="I40" s="7">
        <f>L34</f>
        <v>12.17611111111111</v>
      </c>
      <c r="K40" s="24" t="s">
        <v>27</v>
      </c>
      <c r="L40" s="17">
        <f>IFERROR(L32/L38,0)</f>
        <v>0.34788888888888891</v>
      </c>
    </row>
    <row r="41" spans="4:15" x14ac:dyDescent="0.25">
      <c r="E41" s="61"/>
      <c r="F41" s="3"/>
      <c r="H41" s="4" t="s">
        <v>0</v>
      </c>
      <c r="I41" s="7">
        <f>F32</f>
        <v>21.285349999999998</v>
      </c>
    </row>
    <row r="42" spans="4:15" x14ac:dyDescent="0.25">
      <c r="E42" s="3"/>
      <c r="F42" s="3"/>
      <c r="H42" s="4" t="s">
        <v>28</v>
      </c>
      <c r="I42" s="7">
        <f>SUM(I40+I41)*15%</f>
        <v>5.0192191666666659</v>
      </c>
    </row>
    <row r="43" spans="4:15" x14ac:dyDescent="0.25">
      <c r="E43" s="3"/>
      <c r="F43" s="3"/>
      <c r="H43" s="4" t="s">
        <v>29</v>
      </c>
      <c r="I43" s="7">
        <f>SUM(I40:I42)</f>
        <v>38.480680277777772</v>
      </c>
    </row>
    <row r="44" spans="4:15" x14ac:dyDescent="0.25">
      <c r="E44" s="3"/>
      <c r="F44" s="3"/>
    </row>
  </sheetData>
  <mergeCells count="7">
    <mergeCell ref="K7:L7"/>
    <mergeCell ref="A11:B11"/>
    <mergeCell ref="H39:I39"/>
    <mergeCell ref="E3:F3"/>
    <mergeCell ref="I3:J3"/>
    <mergeCell ref="E7:F7"/>
    <mergeCell ref="H7:I7"/>
  </mergeCells>
  <conditionalFormatting sqref="L40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40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topLeftCell="B1" zoomScaleNormal="100" workbookViewId="0">
      <selection activeCell="D6" sqref="D6"/>
    </sheetView>
  </sheetViews>
  <sheetFormatPr defaultColWidth="9.140625" defaultRowHeight="15" x14ac:dyDescent="0.25"/>
  <cols>
    <col min="1" max="1" width="39.140625" style="25" customWidth="1"/>
    <col min="2" max="2" width="14.140625" style="25" customWidth="1"/>
    <col min="3" max="3" width="15.28515625" style="25" customWidth="1"/>
    <col min="4" max="17" width="14.140625" style="25" customWidth="1"/>
    <col min="18" max="16384" width="9.140625" style="25"/>
  </cols>
  <sheetData>
    <row r="2" spans="1:17" ht="21.75" customHeight="1" x14ac:dyDescent="0.25">
      <c r="A2" s="26" t="s">
        <v>30</v>
      </c>
      <c r="B2" s="27" t="s">
        <v>31</v>
      </c>
      <c r="C2" s="28">
        <f>'Precificação Cerveja skin 350ml'!L23</f>
        <v>4342</v>
      </c>
      <c r="E2" s="27" t="s">
        <v>32</v>
      </c>
      <c r="F2" s="29">
        <v>2.5000000000000001E-2</v>
      </c>
      <c r="G2" s="30"/>
    </row>
    <row r="3" spans="1:17" ht="25.5" customHeight="1" x14ac:dyDescent="0.25">
      <c r="B3" s="31" t="s">
        <v>33</v>
      </c>
      <c r="C3" s="32">
        <f>'Precificação Heiniek'!L29</f>
        <v>18000</v>
      </c>
      <c r="E3" s="31" t="s">
        <v>34</v>
      </c>
      <c r="F3" s="33">
        <v>0</v>
      </c>
      <c r="G3" s="30"/>
      <c r="I3" s="34"/>
    </row>
    <row r="4" spans="1:17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56.25" customHeight="1" x14ac:dyDescent="0.25">
      <c r="A5" s="36" t="s">
        <v>35</v>
      </c>
      <c r="B5" s="37" t="s">
        <v>36</v>
      </c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44</v>
      </c>
      <c r="K5" s="37" t="s">
        <v>45</v>
      </c>
      <c r="L5" s="37" t="s">
        <v>46</v>
      </c>
      <c r="M5" s="37" t="s">
        <v>47</v>
      </c>
      <c r="N5" s="37" t="s">
        <v>48</v>
      </c>
      <c r="O5" s="37" t="s">
        <v>49</v>
      </c>
      <c r="P5" s="37" t="s">
        <v>50</v>
      </c>
      <c r="Q5" s="37" t="s">
        <v>51</v>
      </c>
    </row>
    <row r="6" spans="1:17" x14ac:dyDescent="0.25">
      <c r="A6" s="38" t="s">
        <v>59</v>
      </c>
      <c r="B6" s="39">
        <v>14</v>
      </c>
      <c r="C6" s="40"/>
      <c r="D6" s="41">
        <v>0</v>
      </c>
      <c r="E6" s="42">
        <f t="shared" ref="E6:E30" si="0">IFERROR(D6/C$3,0)</f>
        <v>0</v>
      </c>
      <c r="F6" s="39">
        <v>8.9</v>
      </c>
      <c r="G6" s="43"/>
      <c r="H6" s="41">
        <f t="shared" ref="H6:H30" si="1">F$2*B6</f>
        <v>0.35000000000000003</v>
      </c>
      <c r="I6" s="41">
        <f t="shared" ref="I6:I30" si="2">F$3*B6</f>
        <v>0</v>
      </c>
      <c r="J6" s="43">
        <f t="shared" ref="J6:J30" si="3">SUM(F6:I6)</f>
        <v>9.25</v>
      </c>
      <c r="K6" s="41">
        <f t="shared" ref="K6:K30" si="4">IFERROR((C$2*E6)/C6,0)</f>
        <v>0</v>
      </c>
      <c r="L6" s="41">
        <f t="shared" ref="L6:L30" si="5">SUM(J6:K6)</f>
        <v>9.25</v>
      </c>
      <c r="M6" s="41">
        <f t="shared" ref="M6:M30" si="6">B6-J6</f>
        <v>4.75</v>
      </c>
      <c r="N6" s="41">
        <f t="shared" ref="N6:N30" si="7">C$2*E6</f>
        <v>0</v>
      </c>
      <c r="O6" s="41">
        <f t="shared" ref="O6:O30" si="8">B6-L6</f>
        <v>4.75</v>
      </c>
      <c r="P6" s="44">
        <f>IFERROR(O6/L6,0)</f>
        <v>0.51351351351351349</v>
      </c>
      <c r="Q6" s="45">
        <f t="shared" ref="Q6:Q30" si="9">IFERROR(J6/B6,0)</f>
        <v>0.6607142857142857</v>
      </c>
    </row>
    <row r="7" spans="1:17" x14ac:dyDescent="0.25">
      <c r="A7" s="38"/>
      <c r="B7" s="39"/>
      <c r="C7" s="40"/>
      <c r="D7" s="41">
        <f t="shared" ref="D7:D30" si="10">B7*C7</f>
        <v>0</v>
      </c>
      <c r="E7" s="42">
        <f t="shared" si="0"/>
        <v>0</v>
      </c>
      <c r="F7" s="39"/>
      <c r="G7" s="43"/>
      <c r="H7" s="41">
        <f t="shared" si="1"/>
        <v>0</v>
      </c>
      <c r="I7" s="41">
        <f t="shared" si="2"/>
        <v>0</v>
      </c>
      <c r="J7" s="43">
        <f t="shared" si="3"/>
        <v>0</v>
      </c>
      <c r="K7" s="41">
        <f t="shared" si="4"/>
        <v>0</v>
      </c>
      <c r="L7" s="41">
        <f t="shared" si="5"/>
        <v>0</v>
      </c>
      <c r="M7" s="41">
        <f t="shared" si="6"/>
        <v>0</v>
      </c>
      <c r="N7" s="41">
        <f t="shared" si="7"/>
        <v>0</v>
      </c>
      <c r="O7" s="41">
        <f t="shared" si="8"/>
        <v>0</v>
      </c>
      <c r="P7" s="44">
        <f t="shared" ref="P7:P30" si="11">IFERROR(O7/L7,0)</f>
        <v>0</v>
      </c>
      <c r="Q7" s="45">
        <f t="shared" si="9"/>
        <v>0</v>
      </c>
    </row>
    <row r="8" spans="1:17" x14ac:dyDescent="0.25">
      <c r="A8" s="38"/>
      <c r="B8" s="39"/>
      <c r="C8" s="40"/>
      <c r="D8" s="41">
        <f t="shared" si="10"/>
        <v>0</v>
      </c>
      <c r="E8" s="42">
        <f t="shared" si="0"/>
        <v>0</v>
      </c>
      <c r="F8" s="39"/>
      <c r="G8" s="43"/>
      <c r="H8" s="41">
        <f t="shared" si="1"/>
        <v>0</v>
      </c>
      <c r="I8" s="41">
        <f t="shared" si="2"/>
        <v>0</v>
      </c>
      <c r="J8" s="43">
        <f t="shared" si="3"/>
        <v>0</v>
      </c>
      <c r="K8" s="41">
        <f t="shared" si="4"/>
        <v>0</v>
      </c>
      <c r="L8" s="41">
        <f t="shared" si="5"/>
        <v>0</v>
      </c>
      <c r="M8" s="41">
        <f t="shared" si="6"/>
        <v>0</v>
      </c>
      <c r="N8" s="41">
        <f t="shared" si="7"/>
        <v>0</v>
      </c>
      <c r="O8" s="41">
        <f t="shared" si="8"/>
        <v>0</v>
      </c>
      <c r="P8" s="44">
        <f t="shared" si="11"/>
        <v>0</v>
      </c>
      <c r="Q8" s="45">
        <f t="shared" si="9"/>
        <v>0</v>
      </c>
    </row>
    <row r="9" spans="1:17" x14ac:dyDescent="0.25">
      <c r="A9" s="38"/>
      <c r="B9" s="39"/>
      <c r="C9" s="40"/>
      <c r="D9" s="41">
        <f t="shared" si="10"/>
        <v>0</v>
      </c>
      <c r="E9" s="42">
        <f t="shared" si="0"/>
        <v>0</v>
      </c>
      <c r="F9" s="39"/>
      <c r="G9" s="43"/>
      <c r="H9" s="41">
        <f t="shared" si="1"/>
        <v>0</v>
      </c>
      <c r="I9" s="41">
        <f t="shared" si="2"/>
        <v>0</v>
      </c>
      <c r="J9" s="43">
        <f t="shared" si="3"/>
        <v>0</v>
      </c>
      <c r="K9" s="41">
        <f t="shared" si="4"/>
        <v>0</v>
      </c>
      <c r="L9" s="41">
        <f t="shared" si="5"/>
        <v>0</v>
      </c>
      <c r="M9" s="41">
        <f t="shared" si="6"/>
        <v>0</v>
      </c>
      <c r="N9" s="41">
        <f t="shared" si="7"/>
        <v>0</v>
      </c>
      <c r="O9" s="41">
        <f t="shared" si="8"/>
        <v>0</v>
      </c>
      <c r="P9" s="44">
        <f t="shared" si="11"/>
        <v>0</v>
      </c>
      <c r="Q9" s="45">
        <f t="shared" si="9"/>
        <v>0</v>
      </c>
    </row>
    <row r="10" spans="1:17" x14ac:dyDescent="0.25">
      <c r="A10" s="38"/>
      <c r="B10" s="39"/>
      <c r="C10" s="40"/>
      <c r="D10" s="41">
        <f t="shared" si="10"/>
        <v>0</v>
      </c>
      <c r="E10" s="42">
        <f t="shared" si="0"/>
        <v>0</v>
      </c>
      <c r="F10" s="39"/>
      <c r="G10" s="43"/>
      <c r="H10" s="41">
        <f t="shared" si="1"/>
        <v>0</v>
      </c>
      <c r="I10" s="41">
        <f t="shared" si="2"/>
        <v>0</v>
      </c>
      <c r="J10" s="43">
        <f t="shared" si="3"/>
        <v>0</v>
      </c>
      <c r="K10" s="41">
        <f t="shared" si="4"/>
        <v>0</v>
      </c>
      <c r="L10" s="41">
        <f t="shared" si="5"/>
        <v>0</v>
      </c>
      <c r="M10" s="41">
        <f t="shared" si="6"/>
        <v>0</v>
      </c>
      <c r="N10" s="41">
        <f t="shared" si="7"/>
        <v>0</v>
      </c>
      <c r="O10" s="41">
        <f t="shared" si="8"/>
        <v>0</v>
      </c>
      <c r="P10" s="44">
        <f t="shared" si="11"/>
        <v>0</v>
      </c>
      <c r="Q10" s="45">
        <f t="shared" si="9"/>
        <v>0</v>
      </c>
    </row>
    <row r="11" spans="1:17" x14ac:dyDescent="0.25">
      <c r="A11" s="38"/>
      <c r="B11" s="39"/>
      <c r="C11" s="40"/>
      <c r="D11" s="41">
        <f t="shared" si="10"/>
        <v>0</v>
      </c>
      <c r="E11" s="42">
        <f t="shared" si="0"/>
        <v>0</v>
      </c>
      <c r="F11" s="39"/>
      <c r="G11" s="43"/>
      <c r="H11" s="41">
        <f t="shared" si="1"/>
        <v>0</v>
      </c>
      <c r="I11" s="41">
        <f t="shared" si="2"/>
        <v>0</v>
      </c>
      <c r="J11" s="43">
        <f t="shared" si="3"/>
        <v>0</v>
      </c>
      <c r="K11" s="41">
        <f t="shared" si="4"/>
        <v>0</v>
      </c>
      <c r="L11" s="41">
        <f t="shared" si="5"/>
        <v>0</v>
      </c>
      <c r="M11" s="41">
        <f t="shared" si="6"/>
        <v>0</v>
      </c>
      <c r="N11" s="41">
        <f t="shared" si="7"/>
        <v>0</v>
      </c>
      <c r="O11" s="41">
        <f t="shared" si="8"/>
        <v>0</v>
      </c>
      <c r="P11" s="44">
        <f t="shared" si="11"/>
        <v>0</v>
      </c>
      <c r="Q11" s="45">
        <f t="shared" si="9"/>
        <v>0</v>
      </c>
    </row>
    <row r="12" spans="1:17" x14ac:dyDescent="0.25">
      <c r="A12" s="38"/>
      <c r="B12" s="39"/>
      <c r="C12" s="40"/>
      <c r="D12" s="41">
        <f t="shared" si="10"/>
        <v>0</v>
      </c>
      <c r="E12" s="42">
        <f t="shared" si="0"/>
        <v>0</v>
      </c>
      <c r="F12" s="39"/>
      <c r="G12" s="43"/>
      <c r="H12" s="41">
        <f t="shared" si="1"/>
        <v>0</v>
      </c>
      <c r="I12" s="41">
        <f t="shared" si="2"/>
        <v>0</v>
      </c>
      <c r="J12" s="43">
        <f t="shared" si="3"/>
        <v>0</v>
      </c>
      <c r="K12" s="41">
        <f t="shared" si="4"/>
        <v>0</v>
      </c>
      <c r="L12" s="41">
        <f t="shared" si="5"/>
        <v>0</v>
      </c>
      <c r="M12" s="41">
        <f t="shared" si="6"/>
        <v>0</v>
      </c>
      <c r="N12" s="41">
        <f t="shared" si="7"/>
        <v>0</v>
      </c>
      <c r="O12" s="41">
        <f t="shared" si="8"/>
        <v>0</v>
      </c>
      <c r="P12" s="44">
        <f t="shared" si="11"/>
        <v>0</v>
      </c>
      <c r="Q12" s="45">
        <f t="shared" si="9"/>
        <v>0</v>
      </c>
    </row>
    <row r="13" spans="1:17" x14ac:dyDescent="0.25">
      <c r="A13" s="38"/>
      <c r="B13" s="39"/>
      <c r="C13" s="40"/>
      <c r="D13" s="41">
        <f t="shared" si="10"/>
        <v>0</v>
      </c>
      <c r="E13" s="42">
        <f t="shared" si="0"/>
        <v>0</v>
      </c>
      <c r="F13" s="39"/>
      <c r="G13" s="43"/>
      <c r="H13" s="41">
        <f t="shared" si="1"/>
        <v>0</v>
      </c>
      <c r="I13" s="41">
        <f t="shared" si="2"/>
        <v>0</v>
      </c>
      <c r="J13" s="43">
        <f t="shared" si="3"/>
        <v>0</v>
      </c>
      <c r="K13" s="41">
        <f t="shared" si="4"/>
        <v>0</v>
      </c>
      <c r="L13" s="41">
        <f t="shared" si="5"/>
        <v>0</v>
      </c>
      <c r="M13" s="41">
        <f t="shared" si="6"/>
        <v>0</v>
      </c>
      <c r="N13" s="41">
        <f t="shared" si="7"/>
        <v>0</v>
      </c>
      <c r="O13" s="41">
        <f t="shared" si="8"/>
        <v>0</v>
      </c>
      <c r="P13" s="44">
        <f t="shared" si="11"/>
        <v>0</v>
      </c>
      <c r="Q13" s="45">
        <f t="shared" si="9"/>
        <v>0</v>
      </c>
    </row>
    <row r="14" spans="1:17" x14ac:dyDescent="0.25">
      <c r="A14" s="38"/>
      <c r="B14" s="39"/>
      <c r="C14" s="40"/>
      <c r="D14" s="41">
        <f t="shared" si="10"/>
        <v>0</v>
      </c>
      <c r="E14" s="42">
        <f t="shared" si="0"/>
        <v>0</v>
      </c>
      <c r="F14" s="39"/>
      <c r="G14" s="43"/>
      <c r="H14" s="41">
        <f t="shared" si="1"/>
        <v>0</v>
      </c>
      <c r="I14" s="41">
        <f t="shared" si="2"/>
        <v>0</v>
      </c>
      <c r="J14" s="43">
        <f t="shared" si="3"/>
        <v>0</v>
      </c>
      <c r="K14" s="41">
        <f t="shared" si="4"/>
        <v>0</v>
      </c>
      <c r="L14" s="41">
        <f t="shared" si="5"/>
        <v>0</v>
      </c>
      <c r="M14" s="41">
        <f t="shared" si="6"/>
        <v>0</v>
      </c>
      <c r="N14" s="41">
        <f t="shared" si="7"/>
        <v>0</v>
      </c>
      <c r="O14" s="41">
        <f t="shared" si="8"/>
        <v>0</v>
      </c>
      <c r="P14" s="44">
        <f t="shared" si="11"/>
        <v>0</v>
      </c>
      <c r="Q14" s="45">
        <f t="shared" si="9"/>
        <v>0</v>
      </c>
    </row>
    <row r="15" spans="1:17" x14ac:dyDescent="0.25">
      <c r="A15" s="38"/>
      <c r="B15" s="39"/>
      <c r="C15" s="40"/>
      <c r="D15" s="41">
        <f t="shared" si="10"/>
        <v>0</v>
      </c>
      <c r="E15" s="42">
        <f t="shared" si="0"/>
        <v>0</v>
      </c>
      <c r="F15" s="39"/>
      <c r="G15" s="43"/>
      <c r="H15" s="41">
        <f t="shared" si="1"/>
        <v>0</v>
      </c>
      <c r="I15" s="41">
        <f t="shared" si="2"/>
        <v>0</v>
      </c>
      <c r="J15" s="43">
        <f t="shared" si="3"/>
        <v>0</v>
      </c>
      <c r="K15" s="41">
        <f t="shared" si="4"/>
        <v>0</v>
      </c>
      <c r="L15" s="41">
        <f t="shared" si="5"/>
        <v>0</v>
      </c>
      <c r="M15" s="41">
        <f t="shared" si="6"/>
        <v>0</v>
      </c>
      <c r="N15" s="41">
        <f t="shared" si="7"/>
        <v>0</v>
      </c>
      <c r="O15" s="41">
        <f t="shared" si="8"/>
        <v>0</v>
      </c>
      <c r="P15" s="44">
        <f t="shared" si="11"/>
        <v>0</v>
      </c>
      <c r="Q15" s="45">
        <f t="shared" si="9"/>
        <v>0</v>
      </c>
    </row>
    <row r="16" spans="1:17" x14ac:dyDescent="0.25">
      <c r="A16" s="38"/>
      <c r="B16" s="39"/>
      <c r="C16" s="40"/>
      <c r="D16" s="41">
        <f t="shared" si="10"/>
        <v>0</v>
      </c>
      <c r="E16" s="42">
        <f t="shared" si="0"/>
        <v>0</v>
      </c>
      <c r="F16" s="39"/>
      <c r="G16" s="43"/>
      <c r="H16" s="41">
        <f t="shared" si="1"/>
        <v>0</v>
      </c>
      <c r="I16" s="41">
        <f t="shared" si="2"/>
        <v>0</v>
      </c>
      <c r="J16" s="43">
        <f t="shared" si="3"/>
        <v>0</v>
      </c>
      <c r="K16" s="41">
        <f t="shared" si="4"/>
        <v>0</v>
      </c>
      <c r="L16" s="41">
        <f t="shared" si="5"/>
        <v>0</v>
      </c>
      <c r="M16" s="41">
        <f t="shared" si="6"/>
        <v>0</v>
      </c>
      <c r="N16" s="41">
        <f t="shared" si="7"/>
        <v>0</v>
      </c>
      <c r="O16" s="41">
        <f t="shared" si="8"/>
        <v>0</v>
      </c>
      <c r="P16" s="44">
        <f t="shared" si="11"/>
        <v>0</v>
      </c>
      <c r="Q16" s="45">
        <f t="shared" si="9"/>
        <v>0</v>
      </c>
    </row>
    <row r="17" spans="1:17" x14ac:dyDescent="0.25">
      <c r="A17" s="38"/>
      <c r="B17" s="39"/>
      <c r="C17" s="40"/>
      <c r="D17" s="41">
        <f t="shared" si="10"/>
        <v>0</v>
      </c>
      <c r="E17" s="42">
        <f t="shared" si="0"/>
        <v>0</v>
      </c>
      <c r="F17" s="39"/>
      <c r="G17" s="43"/>
      <c r="H17" s="41">
        <f t="shared" si="1"/>
        <v>0</v>
      </c>
      <c r="I17" s="41">
        <f t="shared" si="2"/>
        <v>0</v>
      </c>
      <c r="J17" s="43">
        <f t="shared" si="3"/>
        <v>0</v>
      </c>
      <c r="K17" s="41">
        <f t="shared" si="4"/>
        <v>0</v>
      </c>
      <c r="L17" s="41">
        <f t="shared" si="5"/>
        <v>0</v>
      </c>
      <c r="M17" s="41">
        <f t="shared" si="6"/>
        <v>0</v>
      </c>
      <c r="N17" s="41">
        <f t="shared" si="7"/>
        <v>0</v>
      </c>
      <c r="O17" s="41">
        <f t="shared" si="8"/>
        <v>0</v>
      </c>
      <c r="P17" s="44">
        <f t="shared" si="11"/>
        <v>0</v>
      </c>
      <c r="Q17" s="45">
        <f t="shared" si="9"/>
        <v>0</v>
      </c>
    </row>
    <row r="18" spans="1:17" x14ac:dyDescent="0.25">
      <c r="A18" s="38"/>
      <c r="B18" s="39"/>
      <c r="C18" s="40"/>
      <c r="D18" s="41">
        <f t="shared" si="10"/>
        <v>0</v>
      </c>
      <c r="E18" s="42">
        <f t="shared" si="0"/>
        <v>0</v>
      </c>
      <c r="F18" s="39"/>
      <c r="G18" s="43"/>
      <c r="H18" s="41">
        <f t="shared" si="1"/>
        <v>0</v>
      </c>
      <c r="I18" s="41">
        <f t="shared" si="2"/>
        <v>0</v>
      </c>
      <c r="J18" s="43">
        <f t="shared" si="3"/>
        <v>0</v>
      </c>
      <c r="K18" s="41">
        <f t="shared" si="4"/>
        <v>0</v>
      </c>
      <c r="L18" s="41">
        <f t="shared" si="5"/>
        <v>0</v>
      </c>
      <c r="M18" s="41">
        <f t="shared" si="6"/>
        <v>0</v>
      </c>
      <c r="N18" s="41">
        <f t="shared" si="7"/>
        <v>0</v>
      </c>
      <c r="O18" s="41">
        <f t="shared" si="8"/>
        <v>0</v>
      </c>
      <c r="P18" s="44">
        <f t="shared" si="11"/>
        <v>0</v>
      </c>
      <c r="Q18" s="45">
        <f t="shared" si="9"/>
        <v>0</v>
      </c>
    </row>
    <row r="19" spans="1:17" x14ac:dyDescent="0.25">
      <c r="A19" s="38"/>
      <c r="B19" s="39"/>
      <c r="C19" s="40"/>
      <c r="D19" s="41">
        <f t="shared" si="10"/>
        <v>0</v>
      </c>
      <c r="E19" s="42">
        <f t="shared" si="0"/>
        <v>0</v>
      </c>
      <c r="F19" s="39"/>
      <c r="G19" s="43"/>
      <c r="H19" s="41">
        <f t="shared" si="1"/>
        <v>0</v>
      </c>
      <c r="I19" s="41">
        <f t="shared" si="2"/>
        <v>0</v>
      </c>
      <c r="J19" s="43">
        <f t="shared" si="3"/>
        <v>0</v>
      </c>
      <c r="K19" s="41">
        <f t="shared" si="4"/>
        <v>0</v>
      </c>
      <c r="L19" s="41">
        <f t="shared" si="5"/>
        <v>0</v>
      </c>
      <c r="M19" s="41">
        <f t="shared" si="6"/>
        <v>0</v>
      </c>
      <c r="N19" s="41">
        <f t="shared" si="7"/>
        <v>0</v>
      </c>
      <c r="O19" s="41">
        <f t="shared" si="8"/>
        <v>0</v>
      </c>
      <c r="P19" s="44">
        <f t="shared" si="11"/>
        <v>0</v>
      </c>
      <c r="Q19" s="45">
        <f t="shared" si="9"/>
        <v>0</v>
      </c>
    </row>
    <row r="20" spans="1:17" x14ac:dyDescent="0.25">
      <c r="A20" s="38"/>
      <c r="B20" s="39"/>
      <c r="C20" s="40"/>
      <c r="D20" s="41">
        <f t="shared" si="10"/>
        <v>0</v>
      </c>
      <c r="E20" s="42">
        <f t="shared" si="0"/>
        <v>0</v>
      </c>
      <c r="F20" s="39"/>
      <c r="G20" s="43"/>
      <c r="H20" s="41">
        <f t="shared" si="1"/>
        <v>0</v>
      </c>
      <c r="I20" s="41">
        <f t="shared" si="2"/>
        <v>0</v>
      </c>
      <c r="J20" s="43">
        <f t="shared" si="3"/>
        <v>0</v>
      </c>
      <c r="K20" s="41">
        <f t="shared" si="4"/>
        <v>0</v>
      </c>
      <c r="L20" s="41">
        <f t="shared" si="5"/>
        <v>0</v>
      </c>
      <c r="M20" s="41">
        <f t="shared" si="6"/>
        <v>0</v>
      </c>
      <c r="N20" s="41">
        <f t="shared" si="7"/>
        <v>0</v>
      </c>
      <c r="O20" s="41">
        <f t="shared" si="8"/>
        <v>0</v>
      </c>
      <c r="P20" s="44">
        <f t="shared" si="11"/>
        <v>0</v>
      </c>
      <c r="Q20" s="45">
        <f t="shared" si="9"/>
        <v>0</v>
      </c>
    </row>
    <row r="21" spans="1:17" x14ac:dyDescent="0.25">
      <c r="A21" s="38"/>
      <c r="B21" s="39"/>
      <c r="C21" s="40"/>
      <c r="D21" s="41">
        <f t="shared" si="10"/>
        <v>0</v>
      </c>
      <c r="E21" s="42">
        <f t="shared" si="0"/>
        <v>0</v>
      </c>
      <c r="F21" s="39"/>
      <c r="G21" s="43"/>
      <c r="H21" s="41">
        <f t="shared" si="1"/>
        <v>0</v>
      </c>
      <c r="I21" s="41">
        <f t="shared" si="2"/>
        <v>0</v>
      </c>
      <c r="J21" s="43">
        <f t="shared" si="3"/>
        <v>0</v>
      </c>
      <c r="K21" s="41">
        <f t="shared" si="4"/>
        <v>0</v>
      </c>
      <c r="L21" s="41">
        <f t="shared" si="5"/>
        <v>0</v>
      </c>
      <c r="M21" s="41">
        <f t="shared" si="6"/>
        <v>0</v>
      </c>
      <c r="N21" s="41">
        <f t="shared" si="7"/>
        <v>0</v>
      </c>
      <c r="O21" s="41">
        <f t="shared" si="8"/>
        <v>0</v>
      </c>
      <c r="P21" s="44">
        <f t="shared" si="11"/>
        <v>0</v>
      </c>
      <c r="Q21" s="45">
        <f t="shared" si="9"/>
        <v>0</v>
      </c>
    </row>
    <row r="22" spans="1:17" x14ac:dyDescent="0.25">
      <c r="A22" s="38"/>
      <c r="B22" s="39"/>
      <c r="C22" s="40"/>
      <c r="D22" s="41">
        <f t="shared" si="10"/>
        <v>0</v>
      </c>
      <c r="E22" s="42">
        <f t="shared" si="0"/>
        <v>0</v>
      </c>
      <c r="F22" s="39"/>
      <c r="G22" s="43"/>
      <c r="H22" s="41">
        <f t="shared" si="1"/>
        <v>0</v>
      </c>
      <c r="I22" s="41">
        <f t="shared" si="2"/>
        <v>0</v>
      </c>
      <c r="J22" s="43">
        <f t="shared" si="3"/>
        <v>0</v>
      </c>
      <c r="K22" s="41">
        <f t="shared" si="4"/>
        <v>0</v>
      </c>
      <c r="L22" s="41">
        <f t="shared" si="5"/>
        <v>0</v>
      </c>
      <c r="M22" s="41">
        <f t="shared" si="6"/>
        <v>0</v>
      </c>
      <c r="N22" s="41">
        <f t="shared" si="7"/>
        <v>0</v>
      </c>
      <c r="O22" s="41">
        <f t="shared" si="8"/>
        <v>0</v>
      </c>
      <c r="P22" s="44">
        <f t="shared" si="11"/>
        <v>0</v>
      </c>
      <c r="Q22" s="45">
        <f t="shared" si="9"/>
        <v>0</v>
      </c>
    </row>
    <row r="23" spans="1:17" x14ac:dyDescent="0.25">
      <c r="A23" s="38"/>
      <c r="B23" s="39"/>
      <c r="C23" s="40"/>
      <c r="D23" s="41">
        <f t="shared" si="10"/>
        <v>0</v>
      </c>
      <c r="E23" s="42">
        <f t="shared" si="0"/>
        <v>0</v>
      </c>
      <c r="F23" s="39"/>
      <c r="G23" s="43"/>
      <c r="H23" s="41">
        <f t="shared" si="1"/>
        <v>0</v>
      </c>
      <c r="I23" s="41">
        <f t="shared" si="2"/>
        <v>0</v>
      </c>
      <c r="J23" s="43">
        <f t="shared" si="3"/>
        <v>0</v>
      </c>
      <c r="K23" s="41">
        <f t="shared" si="4"/>
        <v>0</v>
      </c>
      <c r="L23" s="41">
        <f t="shared" si="5"/>
        <v>0</v>
      </c>
      <c r="M23" s="41">
        <f t="shared" si="6"/>
        <v>0</v>
      </c>
      <c r="N23" s="41">
        <f t="shared" si="7"/>
        <v>0</v>
      </c>
      <c r="O23" s="41">
        <f t="shared" si="8"/>
        <v>0</v>
      </c>
      <c r="P23" s="44">
        <f t="shared" si="11"/>
        <v>0</v>
      </c>
      <c r="Q23" s="45">
        <f t="shared" si="9"/>
        <v>0</v>
      </c>
    </row>
    <row r="24" spans="1:17" x14ac:dyDescent="0.25">
      <c r="A24" s="38"/>
      <c r="B24" s="39"/>
      <c r="C24" s="40"/>
      <c r="D24" s="41">
        <f t="shared" si="10"/>
        <v>0</v>
      </c>
      <c r="E24" s="42">
        <f t="shared" si="0"/>
        <v>0</v>
      </c>
      <c r="F24" s="39"/>
      <c r="G24" s="43"/>
      <c r="H24" s="41">
        <f t="shared" si="1"/>
        <v>0</v>
      </c>
      <c r="I24" s="41">
        <f t="shared" si="2"/>
        <v>0</v>
      </c>
      <c r="J24" s="43">
        <f t="shared" si="3"/>
        <v>0</v>
      </c>
      <c r="K24" s="41">
        <f t="shared" si="4"/>
        <v>0</v>
      </c>
      <c r="L24" s="41">
        <f t="shared" si="5"/>
        <v>0</v>
      </c>
      <c r="M24" s="41">
        <f t="shared" si="6"/>
        <v>0</v>
      </c>
      <c r="N24" s="41">
        <f t="shared" si="7"/>
        <v>0</v>
      </c>
      <c r="O24" s="41">
        <f t="shared" si="8"/>
        <v>0</v>
      </c>
      <c r="P24" s="44">
        <f t="shared" si="11"/>
        <v>0</v>
      </c>
      <c r="Q24" s="45">
        <f t="shared" si="9"/>
        <v>0</v>
      </c>
    </row>
    <row r="25" spans="1:17" x14ac:dyDescent="0.25">
      <c r="A25" s="38"/>
      <c r="B25" s="39"/>
      <c r="C25" s="40"/>
      <c r="D25" s="41">
        <f t="shared" si="10"/>
        <v>0</v>
      </c>
      <c r="E25" s="42">
        <f t="shared" si="0"/>
        <v>0</v>
      </c>
      <c r="F25" s="39"/>
      <c r="G25" s="43"/>
      <c r="H25" s="41">
        <f t="shared" si="1"/>
        <v>0</v>
      </c>
      <c r="I25" s="41">
        <f t="shared" si="2"/>
        <v>0</v>
      </c>
      <c r="J25" s="43">
        <f t="shared" si="3"/>
        <v>0</v>
      </c>
      <c r="K25" s="41">
        <f t="shared" si="4"/>
        <v>0</v>
      </c>
      <c r="L25" s="41">
        <f t="shared" si="5"/>
        <v>0</v>
      </c>
      <c r="M25" s="41">
        <f t="shared" si="6"/>
        <v>0</v>
      </c>
      <c r="N25" s="41">
        <f t="shared" si="7"/>
        <v>0</v>
      </c>
      <c r="O25" s="41">
        <f t="shared" si="8"/>
        <v>0</v>
      </c>
      <c r="P25" s="44">
        <f t="shared" si="11"/>
        <v>0</v>
      </c>
      <c r="Q25" s="45">
        <f t="shared" si="9"/>
        <v>0</v>
      </c>
    </row>
    <row r="26" spans="1:17" x14ac:dyDescent="0.25">
      <c r="A26" s="38"/>
      <c r="B26" s="39"/>
      <c r="C26" s="40"/>
      <c r="D26" s="41">
        <f t="shared" si="10"/>
        <v>0</v>
      </c>
      <c r="E26" s="42">
        <f t="shared" si="0"/>
        <v>0</v>
      </c>
      <c r="F26" s="39"/>
      <c r="G26" s="43"/>
      <c r="H26" s="41">
        <f t="shared" si="1"/>
        <v>0</v>
      </c>
      <c r="I26" s="41">
        <f t="shared" si="2"/>
        <v>0</v>
      </c>
      <c r="J26" s="43">
        <f t="shared" si="3"/>
        <v>0</v>
      </c>
      <c r="K26" s="41">
        <f t="shared" si="4"/>
        <v>0</v>
      </c>
      <c r="L26" s="41">
        <f t="shared" si="5"/>
        <v>0</v>
      </c>
      <c r="M26" s="41">
        <f t="shared" si="6"/>
        <v>0</v>
      </c>
      <c r="N26" s="41">
        <f t="shared" si="7"/>
        <v>0</v>
      </c>
      <c r="O26" s="41">
        <f t="shared" si="8"/>
        <v>0</v>
      </c>
      <c r="P26" s="44">
        <f t="shared" si="11"/>
        <v>0</v>
      </c>
      <c r="Q26" s="45">
        <f t="shared" si="9"/>
        <v>0</v>
      </c>
    </row>
    <row r="27" spans="1:17" x14ac:dyDescent="0.25">
      <c r="A27" s="38"/>
      <c r="B27" s="39"/>
      <c r="C27" s="40"/>
      <c r="D27" s="41">
        <f t="shared" si="10"/>
        <v>0</v>
      </c>
      <c r="E27" s="42">
        <f t="shared" si="0"/>
        <v>0</v>
      </c>
      <c r="F27" s="39"/>
      <c r="G27" s="43"/>
      <c r="H27" s="41">
        <f t="shared" si="1"/>
        <v>0</v>
      </c>
      <c r="I27" s="41">
        <f t="shared" si="2"/>
        <v>0</v>
      </c>
      <c r="J27" s="43">
        <f t="shared" si="3"/>
        <v>0</v>
      </c>
      <c r="K27" s="41">
        <f t="shared" si="4"/>
        <v>0</v>
      </c>
      <c r="L27" s="41">
        <f t="shared" si="5"/>
        <v>0</v>
      </c>
      <c r="M27" s="41">
        <f t="shared" si="6"/>
        <v>0</v>
      </c>
      <c r="N27" s="41">
        <f t="shared" si="7"/>
        <v>0</v>
      </c>
      <c r="O27" s="41">
        <f t="shared" si="8"/>
        <v>0</v>
      </c>
      <c r="P27" s="44">
        <f t="shared" si="11"/>
        <v>0</v>
      </c>
      <c r="Q27" s="45">
        <f t="shared" si="9"/>
        <v>0</v>
      </c>
    </row>
    <row r="28" spans="1:17" x14ac:dyDescent="0.25">
      <c r="A28" s="38"/>
      <c r="B28" s="39"/>
      <c r="C28" s="40"/>
      <c r="D28" s="41">
        <f t="shared" si="10"/>
        <v>0</v>
      </c>
      <c r="E28" s="42">
        <f t="shared" si="0"/>
        <v>0</v>
      </c>
      <c r="F28" s="39"/>
      <c r="G28" s="43"/>
      <c r="H28" s="41">
        <f t="shared" si="1"/>
        <v>0</v>
      </c>
      <c r="I28" s="41">
        <f t="shared" si="2"/>
        <v>0</v>
      </c>
      <c r="J28" s="43">
        <f t="shared" si="3"/>
        <v>0</v>
      </c>
      <c r="K28" s="41">
        <f t="shared" si="4"/>
        <v>0</v>
      </c>
      <c r="L28" s="41">
        <f t="shared" si="5"/>
        <v>0</v>
      </c>
      <c r="M28" s="41">
        <f t="shared" si="6"/>
        <v>0</v>
      </c>
      <c r="N28" s="41">
        <f t="shared" si="7"/>
        <v>0</v>
      </c>
      <c r="O28" s="41">
        <f t="shared" si="8"/>
        <v>0</v>
      </c>
      <c r="P28" s="44">
        <f t="shared" si="11"/>
        <v>0</v>
      </c>
      <c r="Q28" s="45">
        <f t="shared" si="9"/>
        <v>0</v>
      </c>
    </row>
    <row r="29" spans="1:17" x14ac:dyDescent="0.25">
      <c r="A29" s="38"/>
      <c r="B29" s="39"/>
      <c r="C29" s="40"/>
      <c r="D29" s="41">
        <f t="shared" si="10"/>
        <v>0</v>
      </c>
      <c r="E29" s="42">
        <f t="shared" si="0"/>
        <v>0</v>
      </c>
      <c r="F29" s="39"/>
      <c r="G29" s="43"/>
      <c r="H29" s="41">
        <f t="shared" si="1"/>
        <v>0</v>
      </c>
      <c r="I29" s="41">
        <f t="shared" si="2"/>
        <v>0</v>
      </c>
      <c r="J29" s="43">
        <f t="shared" si="3"/>
        <v>0</v>
      </c>
      <c r="K29" s="41">
        <f t="shared" si="4"/>
        <v>0</v>
      </c>
      <c r="L29" s="41">
        <f t="shared" si="5"/>
        <v>0</v>
      </c>
      <c r="M29" s="41">
        <f t="shared" si="6"/>
        <v>0</v>
      </c>
      <c r="N29" s="41">
        <f t="shared" si="7"/>
        <v>0</v>
      </c>
      <c r="O29" s="41">
        <f t="shared" si="8"/>
        <v>0</v>
      </c>
      <c r="P29" s="44">
        <f t="shared" si="11"/>
        <v>0</v>
      </c>
      <c r="Q29" s="45">
        <f t="shared" si="9"/>
        <v>0</v>
      </c>
    </row>
    <row r="30" spans="1:17" x14ac:dyDescent="0.25">
      <c r="A30" s="46"/>
      <c r="B30" s="47"/>
      <c r="C30" s="48"/>
      <c r="D30" s="49">
        <f t="shared" si="10"/>
        <v>0</v>
      </c>
      <c r="E30" s="50">
        <f t="shared" si="0"/>
        <v>0</v>
      </c>
      <c r="F30" s="47"/>
      <c r="G30" s="51"/>
      <c r="H30" s="49">
        <f t="shared" si="1"/>
        <v>0</v>
      </c>
      <c r="I30" s="49">
        <f t="shared" si="2"/>
        <v>0</v>
      </c>
      <c r="J30" s="51">
        <f t="shared" si="3"/>
        <v>0</v>
      </c>
      <c r="K30" s="49">
        <f t="shared" si="4"/>
        <v>0</v>
      </c>
      <c r="L30" s="49">
        <f t="shared" si="5"/>
        <v>0</v>
      </c>
      <c r="M30" s="49">
        <f t="shared" si="6"/>
        <v>0</v>
      </c>
      <c r="N30" s="49">
        <f t="shared" si="7"/>
        <v>0</v>
      </c>
      <c r="O30" s="49">
        <f t="shared" si="8"/>
        <v>0</v>
      </c>
      <c r="P30" s="52">
        <f t="shared" si="11"/>
        <v>0</v>
      </c>
      <c r="Q30" s="53">
        <f t="shared" si="9"/>
        <v>0</v>
      </c>
    </row>
  </sheetData>
  <autoFilter ref="A5:Q5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Precificação Cerveja skin 350ml</vt:lpstr>
      <vt:lpstr>Precificação Coca Cola 2lt </vt:lpstr>
      <vt:lpstr>Precificação Heiniek</vt:lpstr>
      <vt:lpstr>Precificação Ka Churrasco</vt:lpstr>
      <vt:lpstr>Precificação 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ANA PAULA PAIXAO DE OLIVEIRA</cp:lastModifiedBy>
  <cp:revision>3</cp:revision>
  <dcterms:created xsi:type="dcterms:W3CDTF">2023-12-09T16:29:00Z</dcterms:created>
  <dcterms:modified xsi:type="dcterms:W3CDTF">2025-01-15T20:56:13Z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